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RA Resources Tool\"/>
    </mc:Choice>
  </mc:AlternateContent>
  <xr:revisionPtr revIDLastSave="0" documentId="8_{C2711F15-4B79-4F9E-B30B-4F2D4BB7F476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How to Use This Template" sheetId="11" r:id="rId1"/>
    <sheet name="Dashboard Overview" sheetId="1" r:id="rId2"/>
    <sheet name="Daily Sales Tracker" sheetId="2" r:id="rId3"/>
    <sheet name="Food Cost Tracker" sheetId="3" r:id="rId4"/>
    <sheet name="Labor Cost Tracker" sheetId="4" r:id="rId5"/>
    <sheet name="Inventory &amp; Waste Tracker" sheetId="5" r:id="rId6"/>
    <sheet name="KPI Benchmarks" sheetId="6" r:id="rId7"/>
    <sheet name="Weekly Summary" sheetId="7" r:id="rId8"/>
    <sheet name="Monthly Summary" sheetId="8" r:id="rId9"/>
    <sheet name="Instructions" sheetId="9" r:id="rId10"/>
  </sheets>
  <definedNames>
    <definedName name="_xlnm._FilterDatabase" localSheetId="2" hidden="1">'Daily Sales Tracker'!$B$5:$O$35</definedName>
    <definedName name="_xlnm._FilterDatabase" localSheetId="1" hidden="1">'Dashboard Overview'!$B$7:$B$10</definedName>
    <definedName name="_xlnm._FilterDatabase" localSheetId="3" hidden="1">'Food Cost Tracker'!$B$5:$H$35</definedName>
    <definedName name="_xlnm._FilterDatabase" localSheetId="5" hidden="1">'Inventory &amp; Waste Tracker'!$B$5:$M$25</definedName>
    <definedName name="_xlnm._FilterDatabase" localSheetId="4" hidden="1">'Labor Cost Tracker'!$B$5:$H$35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8" l="1"/>
  <c r="F10" i="8"/>
  <c r="D10" i="8"/>
  <c r="C10" i="8"/>
  <c r="L9" i="8"/>
  <c r="I9" i="8"/>
  <c r="G9" i="8"/>
  <c r="E9" i="8"/>
  <c r="L8" i="8"/>
  <c r="I8" i="8"/>
  <c r="G8" i="8"/>
  <c r="E8" i="8"/>
  <c r="L7" i="8"/>
  <c r="I7" i="8"/>
  <c r="G7" i="8"/>
  <c r="E7" i="8"/>
  <c r="L6" i="8"/>
  <c r="I6" i="8"/>
  <c r="G6" i="8"/>
  <c r="E6" i="8"/>
  <c r="K10" i="7"/>
  <c r="G10" i="7"/>
  <c r="E10" i="7"/>
  <c r="D10" i="7"/>
  <c r="K9" i="7"/>
  <c r="G9" i="7"/>
  <c r="E9" i="7"/>
  <c r="D9" i="7"/>
  <c r="K8" i="7"/>
  <c r="G8" i="7"/>
  <c r="E8" i="7"/>
  <c r="D8" i="7"/>
  <c r="K7" i="7"/>
  <c r="G7" i="7"/>
  <c r="E7" i="7"/>
  <c r="D7" i="7"/>
  <c r="K6" i="7"/>
  <c r="G6" i="7"/>
  <c r="E6" i="7"/>
  <c r="D6" i="7"/>
  <c r="I27" i="5"/>
  <c r="G27" i="5"/>
  <c r="F27" i="5"/>
  <c r="E27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G37" i="4"/>
  <c r="F37" i="4"/>
  <c r="D37" i="4"/>
  <c r="C37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F37" i="3"/>
  <c r="D37" i="3"/>
  <c r="C37" i="3"/>
  <c r="H35" i="3"/>
  <c r="G35" i="3"/>
  <c r="E35" i="3"/>
  <c r="H34" i="3"/>
  <c r="G34" i="3"/>
  <c r="E34" i="3"/>
  <c r="H33" i="3"/>
  <c r="G33" i="3"/>
  <c r="E33" i="3"/>
  <c r="H32" i="3"/>
  <c r="G32" i="3"/>
  <c r="E32" i="3"/>
  <c r="H31" i="3"/>
  <c r="G31" i="3"/>
  <c r="E31" i="3"/>
  <c r="H30" i="3"/>
  <c r="G30" i="3"/>
  <c r="E30" i="3"/>
  <c r="H29" i="3"/>
  <c r="G29" i="3"/>
  <c r="E29" i="3"/>
  <c r="H28" i="3"/>
  <c r="G28" i="3"/>
  <c r="E28" i="3"/>
  <c r="H27" i="3"/>
  <c r="G27" i="3"/>
  <c r="E27" i="3"/>
  <c r="H26" i="3"/>
  <c r="G26" i="3"/>
  <c r="E26" i="3"/>
  <c r="H25" i="3"/>
  <c r="G25" i="3"/>
  <c r="E25" i="3"/>
  <c r="H24" i="3"/>
  <c r="G24" i="3"/>
  <c r="E24" i="3"/>
  <c r="H23" i="3"/>
  <c r="G23" i="3"/>
  <c r="E23" i="3"/>
  <c r="H22" i="3"/>
  <c r="G22" i="3"/>
  <c r="E22" i="3"/>
  <c r="H21" i="3"/>
  <c r="G21" i="3"/>
  <c r="E21" i="3"/>
  <c r="H20" i="3"/>
  <c r="G20" i="3"/>
  <c r="E20" i="3"/>
  <c r="H19" i="3"/>
  <c r="G19" i="3"/>
  <c r="E19" i="3"/>
  <c r="H18" i="3"/>
  <c r="G18" i="3"/>
  <c r="E18" i="3"/>
  <c r="H17" i="3"/>
  <c r="G17" i="3"/>
  <c r="E17" i="3"/>
  <c r="H16" i="3"/>
  <c r="G16" i="3"/>
  <c r="E16" i="3"/>
  <c r="H15" i="3"/>
  <c r="G15" i="3"/>
  <c r="E15" i="3"/>
  <c r="H14" i="3"/>
  <c r="G14" i="3"/>
  <c r="E14" i="3"/>
  <c r="H13" i="3"/>
  <c r="G13" i="3"/>
  <c r="E13" i="3"/>
  <c r="H12" i="3"/>
  <c r="G12" i="3"/>
  <c r="E12" i="3"/>
  <c r="H11" i="3"/>
  <c r="G11" i="3"/>
  <c r="E11" i="3"/>
  <c r="H10" i="3"/>
  <c r="G10" i="3"/>
  <c r="E10" i="3"/>
  <c r="H9" i="3"/>
  <c r="G9" i="3"/>
  <c r="E9" i="3"/>
  <c r="H8" i="3"/>
  <c r="G8" i="3"/>
  <c r="E8" i="3"/>
  <c r="H7" i="3"/>
  <c r="G7" i="3"/>
  <c r="E7" i="3"/>
  <c r="H6" i="3"/>
  <c r="G6" i="3"/>
  <c r="E6" i="3"/>
  <c r="O36" i="2"/>
  <c r="L36" i="2"/>
  <c r="K36" i="2"/>
  <c r="J36" i="2"/>
  <c r="I36" i="2"/>
  <c r="G36" i="2"/>
  <c r="F36" i="2"/>
  <c r="E36" i="2"/>
  <c r="D36" i="2"/>
  <c r="O35" i="2"/>
  <c r="M35" i="2"/>
  <c r="H35" i="2"/>
  <c r="O34" i="2"/>
  <c r="M34" i="2"/>
  <c r="H34" i="2"/>
  <c r="O33" i="2"/>
  <c r="M33" i="2"/>
  <c r="H33" i="2"/>
  <c r="O32" i="2"/>
  <c r="M32" i="2"/>
  <c r="H32" i="2"/>
  <c r="O31" i="2"/>
  <c r="M31" i="2"/>
  <c r="H31" i="2"/>
  <c r="O30" i="2"/>
  <c r="M30" i="2"/>
  <c r="H30" i="2"/>
  <c r="O29" i="2"/>
  <c r="M29" i="2"/>
  <c r="H29" i="2"/>
  <c r="O28" i="2"/>
  <c r="M28" i="2"/>
  <c r="H28" i="2"/>
  <c r="O27" i="2"/>
  <c r="M27" i="2"/>
  <c r="H27" i="2"/>
  <c r="O26" i="2"/>
  <c r="M26" i="2"/>
  <c r="H26" i="2"/>
  <c r="O25" i="2"/>
  <c r="M25" i="2"/>
  <c r="H25" i="2"/>
  <c r="O24" i="2"/>
  <c r="M24" i="2"/>
  <c r="H24" i="2"/>
  <c r="O23" i="2"/>
  <c r="M23" i="2"/>
  <c r="H23" i="2"/>
  <c r="O22" i="2"/>
  <c r="M22" i="2"/>
  <c r="H22" i="2"/>
  <c r="O21" i="2"/>
  <c r="M21" i="2"/>
  <c r="H21" i="2"/>
  <c r="O20" i="2"/>
  <c r="M20" i="2"/>
  <c r="H20" i="2"/>
  <c r="O19" i="2"/>
  <c r="M19" i="2"/>
  <c r="H19" i="2"/>
  <c r="O18" i="2"/>
  <c r="M18" i="2"/>
  <c r="H18" i="2"/>
  <c r="O17" i="2"/>
  <c r="M17" i="2"/>
  <c r="H17" i="2"/>
  <c r="O16" i="2"/>
  <c r="M16" i="2"/>
  <c r="H16" i="2"/>
  <c r="O15" i="2"/>
  <c r="M15" i="2"/>
  <c r="H15" i="2"/>
  <c r="O14" i="2"/>
  <c r="M14" i="2"/>
  <c r="H14" i="2"/>
  <c r="O13" i="2"/>
  <c r="M13" i="2"/>
  <c r="H13" i="2"/>
  <c r="O12" i="2"/>
  <c r="M12" i="2"/>
  <c r="H12" i="2"/>
  <c r="O11" i="2"/>
  <c r="M11" i="2"/>
  <c r="H11" i="2"/>
  <c r="O10" i="2"/>
  <c r="M10" i="2"/>
  <c r="H10" i="2"/>
  <c r="O9" i="2"/>
  <c r="M9" i="2"/>
  <c r="H9" i="2"/>
  <c r="O8" i="2"/>
  <c r="M8" i="2"/>
  <c r="H8" i="2"/>
  <c r="O7" i="2"/>
  <c r="M7" i="2"/>
  <c r="H7" i="2"/>
  <c r="M6" i="2"/>
  <c r="H6" i="2"/>
  <c r="C44" i="1"/>
  <c r="C43" i="1"/>
  <c r="C42" i="1"/>
  <c r="C41" i="1"/>
  <c r="I37" i="1"/>
  <c r="H37" i="1"/>
  <c r="I36" i="1"/>
  <c r="H36" i="1"/>
  <c r="I35" i="1"/>
  <c r="H35" i="1"/>
  <c r="I34" i="1"/>
  <c r="H34" i="1"/>
  <c r="E34" i="1"/>
  <c r="I33" i="1"/>
  <c r="H33" i="1"/>
  <c r="C33" i="1"/>
  <c r="M32" i="1"/>
  <c r="I32" i="1"/>
  <c r="H32" i="1"/>
  <c r="C32" i="1"/>
  <c r="N31" i="1"/>
  <c r="M31" i="1"/>
  <c r="I31" i="1"/>
  <c r="H31" i="1"/>
  <c r="C31" i="1"/>
  <c r="I25" i="1"/>
  <c r="C25" i="1"/>
  <c r="I24" i="1"/>
  <c r="C24" i="1"/>
  <c r="I22" i="1"/>
  <c r="I21" i="1"/>
  <c r="J13" i="1"/>
  <c r="F13" i="1"/>
  <c r="B8" i="1"/>
  <c r="J19" i="8"/>
  <c r="F19" i="8"/>
  <c r="D19" i="8"/>
  <c r="C19" i="8"/>
  <c r="M33" i="1"/>
  <c r="K10" i="8"/>
  <c r="K19" i="8"/>
  <c r="H10" i="8"/>
  <c r="G10" i="8"/>
  <c r="E10" i="8"/>
  <c r="M9" i="8"/>
  <c r="M8" i="8"/>
  <c r="M7" i="8"/>
  <c r="M6" i="8"/>
  <c r="K12" i="7"/>
  <c r="G12" i="7"/>
  <c r="H12" i="7"/>
  <c r="E12" i="7"/>
  <c r="D12" i="7"/>
  <c r="I10" i="7"/>
  <c r="J10" i="7"/>
  <c r="H10" i="7"/>
  <c r="F10" i="7"/>
  <c r="I9" i="7"/>
  <c r="J9" i="7"/>
  <c r="H9" i="7"/>
  <c r="F9" i="7"/>
  <c r="I8" i="7"/>
  <c r="J8" i="7"/>
  <c r="H8" i="7"/>
  <c r="F8" i="7"/>
  <c r="I7" i="7"/>
  <c r="J7" i="7"/>
  <c r="H7" i="7"/>
  <c r="F7" i="7"/>
  <c r="I6" i="7"/>
  <c r="H6" i="7"/>
  <c r="F6" i="7"/>
  <c r="H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H37" i="4"/>
  <c r="E37" i="4"/>
  <c r="H37" i="3"/>
  <c r="G37" i="3"/>
  <c r="E37" i="3"/>
  <c r="M36" i="2"/>
  <c r="N36" i="2"/>
  <c r="H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M34" i="1"/>
  <c r="O34" i="1"/>
  <c r="E33" i="1"/>
  <c r="N32" i="1"/>
  <c r="E32" i="1"/>
  <c r="O31" i="1"/>
  <c r="E31" i="1"/>
  <c r="F25" i="1"/>
  <c r="E25" i="1"/>
  <c r="F24" i="1"/>
  <c r="E24" i="1"/>
  <c r="J22" i="1"/>
  <c r="J21" i="1"/>
  <c r="J15" i="1"/>
  <c r="F15" i="1"/>
  <c r="B10" i="1"/>
  <c r="J25" i="1"/>
  <c r="I10" i="8"/>
  <c r="H19" i="8"/>
  <c r="I19" i="8"/>
  <c r="J6" i="7"/>
  <c r="I12" i="7"/>
  <c r="J12" i="7"/>
  <c r="K25" i="5"/>
  <c r="M25" i="5"/>
  <c r="K24" i="5"/>
  <c r="M24" i="5"/>
  <c r="K23" i="5"/>
  <c r="M23" i="5"/>
  <c r="K22" i="5"/>
  <c r="M22" i="5"/>
  <c r="K21" i="5"/>
  <c r="M21" i="5"/>
  <c r="K20" i="5"/>
  <c r="M20" i="5"/>
  <c r="K19" i="5"/>
  <c r="M19" i="5"/>
  <c r="K18" i="5"/>
  <c r="M18" i="5"/>
  <c r="K17" i="5"/>
  <c r="M17" i="5"/>
  <c r="K16" i="5"/>
  <c r="M16" i="5"/>
  <c r="K15" i="5"/>
  <c r="M15" i="5"/>
  <c r="K14" i="5"/>
  <c r="M14" i="5"/>
  <c r="K13" i="5"/>
  <c r="M13" i="5"/>
  <c r="K12" i="5"/>
  <c r="M12" i="5"/>
  <c r="K11" i="5"/>
  <c r="M11" i="5"/>
  <c r="K10" i="5"/>
  <c r="M10" i="5"/>
  <c r="K9" i="5"/>
  <c r="M9" i="5"/>
  <c r="K8" i="5"/>
  <c r="M8" i="5"/>
  <c r="K7" i="5"/>
  <c r="M7" i="5"/>
  <c r="K6" i="5"/>
  <c r="M6" i="5"/>
  <c r="J27" i="5"/>
  <c r="K27" i="5"/>
  <c r="J8" i="1"/>
  <c r="J10" i="1"/>
  <c r="C22" i="1"/>
  <c r="F8" i="1"/>
  <c r="C21" i="1"/>
  <c r="L8" i="7"/>
  <c r="M8" i="7"/>
  <c r="L7" i="7"/>
  <c r="M7" i="7"/>
  <c r="L6" i="7"/>
  <c r="E19" i="8"/>
  <c r="L10" i="8"/>
  <c r="F12" i="7"/>
  <c r="L10" i="7"/>
  <c r="M10" i="7"/>
  <c r="L9" i="7"/>
  <c r="M9" i="7"/>
  <c r="N33" i="1"/>
  <c r="O32" i="1"/>
  <c r="G19" i="8"/>
  <c r="N13" i="1"/>
  <c r="N15" i="1"/>
  <c r="M21" i="1"/>
  <c r="N21" i="1"/>
  <c r="E22" i="1"/>
  <c r="F22" i="1"/>
  <c r="N8" i="1"/>
  <c r="N10" i="1"/>
  <c r="F10" i="1"/>
  <c r="B13" i="1"/>
  <c r="B15" i="1"/>
  <c r="E21" i="1"/>
  <c r="C23" i="1"/>
  <c r="F21" i="1"/>
  <c r="L12" i="7"/>
  <c r="M12" i="7"/>
  <c r="M6" i="7"/>
  <c r="L19" i="8"/>
  <c r="M19" i="8"/>
  <c r="M10" i="8"/>
  <c r="M27" i="5"/>
  <c r="M22" i="1"/>
  <c r="N22" i="1"/>
  <c r="O33" i="1"/>
  <c r="E23" i="1"/>
  <c r="F2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<sst xmlns="http://schemas.openxmlformats.org/spreadsheetml/2006/main" count="429" uniqueCount="292">
  <si>
    <t>RESTAURANT KPI DASHBOARD</t>
  </si>
  <si>
    <t>Current Period:</t>
  </si>
  <si>
    <t>Real-time performance monitoring for restaurant operations</t>
  </si>
  <si>
    <t>KEY PERFORMANCE INDICATORS</t>
  </si>
  <si>
    <t>TOTAL SALES</t>
  </si>
  <si>
    <t>FOOD COST %</t>
  </si>
  <si>
    <t>LABOR COST %</t>
  </si>
  <si>
    <t>PRIME COST %</t>
  </si>
  <si>
    <t>Target: $180,000</t>
  </si>
  <si>
    <t>Target: &lt;32%</t>
  </si>
  <si>
    <t>Target: &lt;30%</t>
  </si>
  <si>
    <t>Target: &lt;65%</t>
  </si>
  <si>
    <t>NET PROFIT MARGIN</t>
  </si>
  <si>
    <t>AVERAGE CHECK</t>
  </si>
  <si>
    <t>WASTE COST</t>
  </si>
  <si>
    <t>INVENTORY VARIANCE</t>
  </si>
  <si>
    <t>Target: &gt;10%</t>
  </si>
  <si>
    <t>Target: $42.00</t>
  </si>
  <si>
    <t>Target: &lt;$3,500</t>
  </si>
  <si>
    <t>Target: &lt;2%</t>
  </si>
  <si>
    <t>COST CONTROL METRICS</t>
  </si>
  <si>
    <t>OPERATIONS SNAPSHOT</t>
  </si>
  <si>
    <t>INVENTORY &amp; WASTE</t>
  </si>
  <si>
    <t>Metric</t>
  </si>
  <si>
    <t>Current</t>
  </si>
  <si>
    <t>Target</t>
  </si>
  <si>
    <t>Variance</t>
  </si>
  <si>
    <t>Status</t>
  </si>
  <si>
    <t>Value</t>
  </si>
  <si>
    <t>vs Target</t>
  </si>
  <si>
    <t>Food Cost %</t>
  </si>
  <si>
    <t>Covers Served (MTD)</t>
  </si>
  <si>
    <t>Inventory Variance %</t>
  </si>
  <si>
    <t>Labor Cost %</t>
  </si>
  <si>
    <t>Average Ticket</t>
  </si>
  <si>
    <t>Total Waste Cost</t>
  </si>
  <si>
    <t>Prime Cost %</t>
  </si>
  <si>
    <t>Table Turnover</t>
  </si>
  <si>
    <t>→ Good</t>
  </si>
  <si>
    <t>Top Waste Category</t>
  </si>
  <si>
    <t>Produce</t>
  </si>
  <si>
    <t>Review</t>
  </si>
  <si>
    <t>Waste Cost</t>
  </si>
  <si>
    <t>Void Transactions</t>
  </si>
  <si>
    <t>⚠ Monitor</t>
  </si>
  <si>
    <t>Low Stock Alerts</t>
  </si>
  <si>
    <t>⚠ Check</t>
  </si>
  <si>
    <t>COGS</t>
  </si>
  <si>
    <t>Refund Rate</t>
  </si>
  <si>
    <t>Items Expiring Soon</t>
  </si>
  <si>
    <t>⚠ Use Soon</t>
  </si>
  <si>
    <t>STAFF PERFORMANCE</t>
  </si>
  <si>
    <t>SALES TREND (Last 7 Days)</t>
  </si>
  <si>
    <t>PERIOD COMPARISON</t>
  </si>
  <si>
    <t>Date</t>
  </si>
  <si>
    <t>Sales</t>
  </si>
  <si>
    <t>Previous</t>
  </si>
  <si>
    <t>Change</t>
  </si>
  <si>
    <t>Total Labor Hours (MTD)</t>
  </si>
  <si>
    <t>This Week vs Last</t>
  </si>
  <si>
    <t>Overtime Hours (MTD)</t>
  </si>
  <si>
    <t>MTD Sales</t>
  </si>
  <si>
    <t>Sales Per Labor Hour</t>
  </si>
  <si>
    <t>YTD Revenue</t>
  </si>
  <si>
    <t>Employee Turnover %</t>
  </si>
  <si>
    <t>&lt;30%</t>
  </si>
  <si>
    <t>Avg Check</t>
  </si>
  <si>
    <t>COST BREAKDOWN</t>
  </si>
  <si>
    <t>Category</t>
  </si>
  <si>
    <t>Amount</t>
  </si>
  <si>
    <t>Food Cost</t>
  </si>
  <si>
    <t>Labor Cost</t>
  </si>
  <si>
    <t>Operating Exp</t>
  </si>
  <si>
    <t>Last Updated: May 19, 2026 | Data refreshes automatically from tracking sheets</t>
  </si>
  <si>
    <t>📈 DAILY SALES TRACKER</t>
  </si>
  <si>
    <t>Track daily restaurant sales, costs, and performance metrics</t>
  </si>
  <si>
    <t>Day</t>
  </si>
  <si>
    <t>Total Sales</t>
  </si>
  <si>
    <t>Food Sales</t>
  </si>
  <si>
    <t>Beverage Sales</t>
  </si>
  <si>
    <t>Covers Served</t>
  </si>
  <si>
    <t>Discounts</t>
  </si>
  <si>
    <t>Refunds</t>
  </si>
  <si>
    <t>Prime Cost</t>
  </si>
  <si>
    <t>Sales Growth %</t>
  </si>
  <si>
    <t>Friday</t>
  </si>
  <si>
    <t>Saturday</t>
  </si>
  <si>
    <t>Sunday</t>
  </si>
  <si>
    <t>Monday</t>
  </si>
  <si>
    <t>Tuesday</t>
  </si>
  <si>
    <t>Wednesday</t>
  </si>
  <si>
    <t>Thursday</t>
  </si>
  <si>
    <t>TOTALS</t>
  </si>
  <si>
    <t>🍽️ FOOD COST TRACKER</t>
  </si>
  <si>
    <t>Monitor food costs, waste, and cost of goods sold</t>
  </si>
  <si>
    <t>Waste %</t>
  </si>
  <si>
    <t>👥 LABOR COST TRACKER</t>
  </si>
  <si>
    <t>Track labor costs, hours, and productivity metrics</t>
  </si>
  <si>
    <t>Labor Hours</t>
  </si>
  <si>
    <t>Overtime Hours</t>
  </si>
  <si>
    <t>📦 INVENTORY &amp; WASTE TRACKER</t>
  </si>
  <si>
    <t>Track inventory movement, variance, and waste by item</t>
  </si>
  <si>
    <t>Item</t>
  </si>
  <si>
    <t>Unit</t>
  </si>
  <si>
    <t>Opening Inventory</t>
  </si>
  <si>
    <t>Purchases</t>
  </si>
  <si>
    <t>Closing Inventory</t>
  </si>
  <si>
    <t>Actual Usage</t>
  </si>
  <si>
    <t>Theoretical Usage</t>
  </si>
  <si>
    <t>Variance %</t>
  </si>
  <si>
    <t>Unit Cost</t>
  </si>
  <si>
    <t>Ground Beef</t>
  </si>
  <si>
    <t>Proteins</t>
  </si>
  <si>
    <t>lbs</t>
  </si>
  <si>
    <t>Chicken Breast</t>
  </si>
  <si>
    <t>Salmon Fillet</t>
  </si>
  <si>
    <t>Shrimp</t>
  </si>
  <si>
    <t>Bacon</t>
  </si>
  <si>
    <t>Lettuce</t>
  </si>
  <si>
    <t>heads</t>
  </si>
  <si>
    <t>Tomatoes</t>
  </si>
  <si>
    <t>Onions</t>
  </si>
  <si>
    <t>Potatoes</t>
  </si>
  <si>
    <t>Avocados</t>
  </si>
  <si>
    <t>each</t>
  </si>
  <si>
    <t>Burger Buns</t>
  </si>
  <si>
    <t>Bakery</t>
  </si>
  <si>
    <t>Bread Loaves</t>
  </si>
  <si>
    <t>Tortillas</t>
  </si>
  <si>
    <t>Cheddar Cheese</t>
  </si>
  <si>
    <t>Dairy</t>
  </si>
  <si>
    <t>Mozzarella</t>
  </si>
  <si>
    <t>Heavy Cream</t>
  </si>
  <si>
    <t>qts</t>
  </si>
  <si>
    <t>Butter</t>
  </si>
  <si>
    <t>French Fries</t>
  </si>
  <si>
    <t>Frozen</t>
  </si>
  <si>
    <t>Ice Cream</t>
  </si>
  <si>
    <t>gal</t>
  </si>
  <si>
    <t>Olive Oil</t>
  </si>
  <si>
    <t>Pantry</t>
  </si>
  <si>
    <t>liters</t>
  </si>
  <si>
    <t>📊 KPI BENCHMARKS REFERENCE</t>
  </si>
  <si>
    <t>Industry-standard benchmarks for restaurant performance metrics</t>
  </si>
  <si>
    <t>KPI Metric</t>
  </si>
  <si>
    <t>Excellent ✓</t>
  </si>
  <si>
    <t>Good</t>
  </si>
  <si>
    <t>Warning ⚠</t>
  </si>
  <si>
    <t>Critical ✗</t>
  </si>
  <si>
    <t>&lt;28%</t>
  </si>
  <si>
    <t>28%–32%</t>
  </si>
  <si>
    <t>33%–35%</t>
  </si>
  <si>
    <t>&gt;35%</t>
  </si>
  <si>
    <t>&lt;25%</t>
  </si>
  <si>
    <t>25%–30%</t>
  </si>
  <si>
    <t>31%–35%</t>
  </si>
  <si>
    <t>&lt;60%</t>
  </si>
  <si>
    <t>60%–65%</t>
  </si>
  <si>
    <t>66%–70%</t>
  </si>
  <si>
    <t>&gt;70%</t>
  </si>
  <si>
    <t>&lt;2%</t>
  </si>
  <si>
    <t>2%–3%</t>
  </si>
  <si>
    <t>4%–5%</t>
  </si>
  <si>
    <t>&gt;5%</t>
  </si>
  <si>
    <t>&lt;1%</t>
  </si>
  <si>
    <t>1%–2%</t>
  </si>
  <si>
    <t>3%–4%</t>
  </si>
  <si>
    <t>Net Profit Margin</t>
  </si>
  <si>
    <t>&gt;15%</t>
  </si>
  <si>
    <t>10%–15%</t>
  </si>
  <si>
    <t>5%–10%</t>
  </si>
  <si>
    <t>&lt;5%</t>
  </si>
  <si>
    <t>Average Check Growth</t>
  </si>
  <si>
    <t>2%–5%</t>
  </si>
  <si>
    <t>0%–2%</t>
  </si>
  <si>
    <t>&lt;0%</t>
  </si>
  <si>
    <t>&gt;3x</t>
  </si>
  <si>
    <t>2x–3x</t>
  </si>
  <si>
    <t>1.5x–2x</t>
  </si>
  <si>
    <t>&lt;1.5x</t>
  </si>
  <si>
    <t>&gt;$50</t>
  </si>
  <si>
    <t>$40–$50</t>
  </si>
  <si>
    <t>$30–$40</t>
  </si>
  <si>
    <t>&lt;$30</t>
  </si>
  <si>
    <t>30%–50%</t>
  </si>
  <si>
    <t>51%–75%</t>
  </si>
  <si>
    <t>&gt;75%</t>
  </si>
  <si>
    <t>📋 NUMERIC BENCHMARK VALUES (for formulas)</t>
  </si>
  <si>
    <t>Excellent Threshold</t>
  </si>
  <si>
    <t>Warning Threshold</t>
  </si>
  <si>
    <t>Critical Threshold</t>
  </si>
  <si>
    <t>📅 WEEKLY PERFORMANCE SUMMARY</t>
  </si>
  <si>
    <t>Weekly aggregated view of restaurant performance</t>
  </si>
  <si>
    <t>Week</t>
  </si>
  <si>
    <t>Week Starting</t>
  </si>
  <si>
    <t>Net Profit</t>
  </si>
  <si>
    <t>Week 1</t>
  </si>
  <si>
    <t>Week 2</t>
  </si>
  <si>
    <t>Week 3</t>
  </si>
  <si>
    <t>Week 4</t>
  </si>
  <si>
    <t>Week 5</t>
  </si>
  <si>
    <t>📊 MONTHLY PERFORMANCE REPORT</t>
  </si>
  <si>
    <t>Monthly aggregated restaurant performance metrics</t>
  </si>
  <si>
    <t>Month</t>
  </si>
  <si>
    <t>Revenue</t>
  </si>
  <si>
    <t>Net Margin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</si>
  <si>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</si>
  <si>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</si>
  <si>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</si>
  <si>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</si>
  <si>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</si>
  <si>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</si>
  <si>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</si>
  <si>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</si>
  <si>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</si>
  <si>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</si>
  <si>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</si>
  <si>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</si>
  <si>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</si>
  <si>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INSTRUCTIONS &amp; USER GUIDE</t>
  </si>
  <si>
    <t>Everything you need to know to use this Restaurant KPI Dashboard</t>
  </si>
  <si>
    <t>GETTING STARTED</t>
  </si>
  <si>
    <t>1. Start by entering your daily data in the 'Daily Sales Tracker' tab</t>
  </si>
  <si>
    <t>2. Record food costs daily in the 'Food Cost Tracker' tab</t>
  </si>
  <si>
    <t>3. Track labor hours and costs in the 'Labor Cost Tracker' tab</t>
  </si>
  <si>
    <t>4. Update inventory weekly in the 'Inventory &amp; Waste Tracker' tab</t>
  </si>
  <si>
    <t>5. Review your Dashboard Overview for real-time KPI monitoring</t>
  </si>
  <si>
    <t>6. Check Weekly and Monthly Summary tabs for trend analysis</t>
  </si>
  <si>
    <t>WHERE TO ENTER DATA</t>
  </si>
  <si>
    <t>Tab Name</t>
  </si>
  <si>
    <t>What to Enter</t>
  </si>
  <si>
    <t>Frequency</t>
  </si>
  <si>
    <t>Daily Sales Tracker</t>
  </si>
  <si>
    <t>Sales, covers, discounts, refunds, labor &amp; food costs</t>
  </si>
  <si>
    <t>Daily</t>
  </si>
  <si>
    <t>Food Cost Tracker</t>
  </si>
  <si>
    <t>Food sales, food costs, waste costs</t>
  </si>
  <si>
    <t>Labor Cost Tracker</t>
  </si>
  <si>
    <t>Total sales, labor costs, hours worked, overtime</t>
  </si>
  <si>
    <t>Inventory &amp; Waste Tracker</t>
  </si>
  <si>
    <t>Opening/closing inventory, purchases, theoretical usage</t>
  </si>
  <si>
    <t>Weekly</t>
  </si>
  <si>
    <t>Weekly Summary</t>
  </si>
  <si>
    <t>Data auto-populates from daily trackers (or enter manually)</t>
  </si>
  <si>
    <t>Monthly Summary</t>
  </si>
  <si>
    <t>Enter monthly totals or reference weekly summaries</t>
  </si>
  <si>
    <t>Monthly</t>
  </si>
  <si>
    <t>KPI DEFINITIONS</t>
  </si>
  <si>
    <t>KPI</t>
  </si>
  <si>
    <t>Definition</t>
  </si>
  <si>
    <t>Formula</t>
  </si>
  <si>
    <t>Percentage of revenue spent on food ingredients</t>
  </si>
  <si>
    <t>Food Cost / Food Sales</t>
  </si>
  <si>
    <t>Percentage of revenue spent on labor</t>
  </si>
  <si>
    <t>Labor Cost / Total Sales</t>
  </si>
  <si>
    <t>Combined food and labor costs</t>
  </si>
  <si>
    <t>(Food Cost + Labor Cost) / Total Sales</t>
  </si>
  <si>
    <t>Profit after all expenses</t>
  </si>
  <si>
    <t>Net Profit / Total Revenue</t>
  </si>
  <si>
    <t>Average Check</t>
  </si>
  <si>
    <t>Average spend per guest</t>
  </si>
  <si>
    <t>Total Sales / Covers Served</t>
  </si>
  <si>
    <t>Revenue efficiency of labor</t>
  </si>
  <si>
    <t>Total Sales / Labor Hours</t>
  </si>
  <si>
    <t>Difference between actual and expected usage</t>
  </si>
  <si>
    <t>(Actual - Theoretical) / Theoretical</t>
  </si>
  <si>
    <t>Food waste as percentage of sales</t>
  </si>
  <si>
    <t>Waste Cost / Food Sales</t>
  </si>
  <si>
    <t>BENCHMARK GUIDE</t>
  </si>
  <si>
    <t>The color coding throughout this dashboard indicates performance:</t>
  </si>
  <si>
    <t>GREEN - Excellent performance, meeting or exceeding targets</t>
  </si>
  <si>
    <t>YELLOW - Warning zone, needs attention and monitoring</t>
  </si>
  <si>
    <t>RED - Critical, requires immediate action</t>
  </si>
  <si>
    <t>RECOMMENDED UPDATE FREQUENCY</t>
  </si>
  <si>
    <t>- Daily: Sales, labor costs, food costs (end of each business day)</t>
  </si>
  <si>
    <t>- Weekly: Review weekly summary, compare to prior week, check for trends</t>
  </si>
  <si>
    <t>- Monthly: Full P&amp;L reconciliation, trend analysis, benchmark review</t>
  </si>
  <si>
    <t>PRO TIPS FOR SUCCESS</t>
  </si>
  <si>
    <t>- Keep Prime Cost under 65% for healthy profitability</t>
  </si>
  <si>
    <t>- Investigate any KPI in the 'warning' zone immediately</t>
  </si>
  <si>
    <t>- Use trends to identify patterns (busy days, seasonal changes)</t>
  </si>
  <si>
    <t>- Compare week-over-week to spot improvements or issues</t>
  </si>
  <si>
    <t>Improve Restaurant Operations With Free Resources</t>
  </si>
  <si>
    <t>RESTAURANT KPI DASHBOARD TEMPLATE</t>
  </si>
  <si>
    <t>Everything you need to know to use this Restaurant KPI Dashboard. Monitor your restaurant's performance in real-time, from daily sales and labor costs to inventory variances and full P&amp;L summaries.</t>
  </si>
  <si>
    <t>Record your daily sales, covers, and discounts in the 'Daily Sales Tracker'. Update the 'Food Cost' and 'Labor Cost' trackers at the end of each business day.</t>
  </si>
  <si>
    <t>Enter Your Daily Data</t>
  </si>
  <si>
    <t>Use the 'Inventory &amp; Waste Tracker' weekly. Enter opening/closing inventory, purchases, and theoretical usage to automatically calculate your variance and waste costs.</t>
  </si>
  <si>
    <t>Track Weekly Inventory</t>
  </si>
  <si>
    <t>Review the 'Dashboard Overview' for real-time status alerts (Green/Yellow/Red). Check your Weekly and Monthly Summary tabs to reconcile your P&amp;L and spot operational trends.</t>
  </si>
  <si>
    <t>Monitor KPIs &amp; Summaries</t>
  </si>
  <si>
    <t>• Keep Prime Cost under 65% for healthy profitability.
• Investigate any KPI in the 'warning' zone immediately.
• Use trends to identify patterns (busy days, seasonal changes).
• Compare week-over-week to spot improvements or underlying issues.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</si>
</sst>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$-409]#,##0.00"/>
    <numFmt numFmtId="165" formatCode="0.0%"/>
    <numFmt numFmtId="166" formatCode="[$$-409]#,##0"/>
    <numFmt numFmtId="167" formatCode="0.0\x"/>
    <numFmt numFmtId="168" formatCode="mm/dd"/>
    <numFmt numFmtId="169" formatCode="\+0.0%;\-0.0%"/>
    <numFmt numFmtId="170" formatCode="yyyy/mm/dd"/>
    <numFmt numFmtId="171" formatCode="mmm\ d&quot;, &quot;yyyy"/>
    <numFmt numFmtId="172" formatCode="\$#,##0"/>
    <numFmt numFmtId="173" formatCode="\$#,##0.00"/>
  </numFmts>
  <fonts count="27" x14ac:knownFonts="1">
    <font>
      <sz val="11"/>
      <color theme="1"/>
      <name val="Aptos Narrow"/>
      <family val="2"/>
      <charset val="1"/>
    </font>
    <font>
      <b/>
      <sz val="24"/>
      <color rgb="FF1E3A5F"/>
      <name val="Aptos Narrow"/>
      <family val="2"/>
      <charset val="1"/>
    </font>
    <font>
      <b/>
      <sz val="11"/>
      <color theme="1"/>
      <name val="Aptos Narrow"/>
      <family val="2"/>
      <charset val="1"/>
    </font>
    <font>
      <sz val="14"/>
      <color rgb="FF2E86AB"/>
      <name val="Aptos Narrow"/>
      <family val="2"/>
      <charset val="1"/>
    </font>
    <font>
      <i/>
      <sz val="12"/>
      <color rgb="FF666666"/>
      <name val="Aptos Narrow"/>
      <family val="2"/>
      <charset val="1"/>
    </font>
    <font>
      <b/>
      <sz val="14"/>
      <color rgb="FF1E3A5F"/>
      <name val="Aptos Narrow"/>
      <family val="2"/>
      <charset val="1"/>
    </font>
    <font>
      <b/>
      <sz val="11"/>
      <color rgb="FFFFFFFF"/>
      <name val="Aptos Narrow"/>
      <family val="2"/>
      <charset val="1"/>
    </font>
    <font>
      <b/>
      <sz val="22"/>
      <color rgb="FF1E3A5F"/>
      <name val="Aptos Narrow"/>
      <family val="2"/>
      <charset val="1"/>
    </font>
    <font>
      <sz val="10"/>
      <color rgb="FF666666"/>
      <name val="Aptos Narrow"/>
      <family val="2"/>
      <charset val="1"/>
    </font>
    <font>
      <sz val="10"/>
      <color theme="1"/>
      <name val="Aptos Narrow"/>
      <family val="2"/>
      <charset val="1"/>
    </font>
    <font>
      <i/>
      <sz val="10"/>
      <color rgb="FF999999"/>
      <name val="Aptos Narrow"/>
      <family val="2"/>
      <charset val="1"/>
    </font>
    <font>
      <b/>
      <sz val="18"/>
      <color rgb="FF1E3A5F"/>
      <name val="Aptos Narrow"/>
      <family val="2"/>
      <charset val="1"/>
    </font>
    <font>
      <i/>
      <sz val="11"/>
      <color rgb="FF666666"/>
      <name val="Aptos Narrow"/>
      <family val="2"/>
      <charset val="1"/>
    </font>
    <font>
      <sz val="11"/>
      <color rgb="FF155724"/>
      <name val="Aptos Narrow"/>
      <family val="2"/>
      <charset val="1"/>
    </font>
    <font>
      <sz val="11"/>
      <color rgb="FF2E7D32"/>
      <name val="Aptos Narrow"/>
      <family val="2"/>
      <charset val="1"/>
    </font>
    <font>
      <sz val="11"/>
      <color rgb="FF856404"/>
      <name val="Aptos Narrow"/>
      <family val="2"/>
      <charset val="1"/>
    </font>
    <font>
      <sz val="11"/>
      <color rgb="FF721C24"/>
      <name val="Aptos Narrow"/>
      <family val="2"/>
      <charset val="1"/>
    </font>
    <font>
      <b/>
      <sz val="20"/>
      <color rgb="FF1E3A5F"/>
      <name val="Aptos Narrow"/>
      <family val="2"/>
      <charset val="1"/>
    </font>
    <font>
      <u/>
      <sz val="11"/>
      <color theme="10"/>
      <name val="Aptos Narrow"/>
      <family val="2"/>
      <charset val="1"/>
    </font>
    <font>
      <b/>
      <sz val="18"/>
      <color rgb="FFFFFFFF"/>
      <name val="Calibri"/>
      <family val="2"/>
    </font>
    <font>
      <b/>
      <sz val="14"/>
      <color rgb="FF2D3748"/>
      <name val="Calibri"/>
      <family val="2"/>
    </font>
    <font>
      <sz val="11"/>
      <color rgb="FF1A202C"/>
      <name val="Calibri"/>
      <family val="2"/>
    </font>
    <font>
      <b/>
      <sz val="16"/>
      <color theme="3" tint="-0.249977111117893"/>
      <name val="Aptos Narrow"/>
      <family val="2"/>
      <scheme val="minor"/>
    </font>
    <font>
      <b/>
      <sz val="14"/>
      <color rgb="FF002060"/>
      <name val="Calibri"/>
      <family val="2"/>
    </font>
    <font>
      <b/>
      <sz val="16"/>
      <color rgb="FFFFFFFF"/>
      <name val="Calibri"/>
      <family val="2"/>
    </font>
    <font>
      <b/>
      <sz val="14"/>
      <color rgb="FF1A202C"/>
      <name val="Calibri"/>
      <family val="2"/>
    </font>
    <font>
      <sz val="11"/>
      <color theme="5" tint="0.59999389629810485"/>
      <name val="Aptos Narrow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8F9FA"/>
        <bgColor rgb="FFF5F5F5"/>
      </patternFill>
    </fill>
    <fill>
      <patternFill patternType="solid">
        <fgColor rgb="FF1E3A5F"/>
        <bgColor rgb="FF333399"/>
      </patternFill>
    </fill>
    <fill>
      <patternFill patternType="solid">
        <fgColor rgb="FFFFFFFF"/>
        <bgColor rgb="FFF8F9FA"/>
      </patternFill>
    </fill>
    <fill>
      <patternFill patternType="solid">
        <fgColor rgb="FFF5F5F5"/>
        <bgColor rgb="FFF8F9FA"/>
      </patternFill>
    </fill>
    <fill>
      <patternFill patternType="solid">
        <fgColor rgb="FFE8E8E8"/>
        <bgColor rgb="FFE8F5E9"/>
      </patternFill>
    </fill>
    <fill>
      <patternFill patternType="solid">
        <fgColor rgb="FFD4EDDA"/>
        <bgColor rgb="FFE8E8E8"/>
      </patternFill>
    </fill>
    <fill>
      <patternFill patternType="solid">
        <fgColor rgb="FFE8F5E9"/>
        <bgColor rgb="FFF5F5F5"/>
      </patternFill>
    </fill>
    <fill>
      <patternFill patternType="solid">
        <fgColor rgb="FFFFF3CD"/>
        <bgColor rgb="FFF5F5F5"/>
      </patternFill>
    </fill>
    <fill>
      <patternFill patternType="solid">
        <fgColor rgb="FFF8D7DA"/>
        <bgColor rgb="FFE8E8E8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7"/>
        <bgColor rgb="FF2D3748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17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6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164" fontId="7" fillId="4" borderId="4" xfId="0" applyNumberFormat="1" applyFont="1" applyFill="1" applyBorder="1"/>
    <xf numFmtId="0" fontId="0" fillId="4" borderId="0" xfId="0" applyFill="1"/>
    <xf numFmtId="0" fontId="0" fillId="4" borderId="5" xfId="0" applyFill="1" applyBorder="1"/>
    <xf numFmtId="165" fontId="7" fillId="4" borderId="4" xfId="0" applyNumberFormat="1" applyFont="1" applyFill="1" applyBorder="1"/>
    <xf numFmtId="0" fontId="8" fillId="4" borderId="4" xfId="0" applyFont="1" applyFill="1" applyBorder="1"/>
    <xf numFmtId="0" fontId="9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166" fontId="7" fillId="4" borderId="4" xfId="0" applyNumberFormat="1" applyFont="1" applyFill="1" applyBorder="1"/>
    <xf numFmtId="0" fontId="6" fillId="3" borderId="9" xfId="0" applyFont="1" applyFill="1" applyBorder="1" applyAlignment="1">
      <alignment horizontal="center"/>
    </xf>
    <xf numFmtId="0" fontId="2" fillId="5" borderId="9" xfId="0" applyFont="1" applyFill="1" applyBorder="1"/>
    <xf numFmtId="165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7" fontId="0" fillId="2" borderId="9" xfId="0" applyNumberFormat="1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10" fontId="0" fillId="2" borderId="9" xfId="0" applyNumberFormat="1" applyFill="1" applyBorder="1" applyAlignment="1">
      <alignment horizontal="center"/>
    </xf>
    <xf numFmtId="0" fontId="2" fillId="6" borderId="9" xfId="0" applyFont="1" applyFill="1" applyBorder="1"/>
    <xf numFmtId="168" fontId="0" fillId="2" borderId="9" xfId="0" applyNumberFormat="1" applyFill="1" applyBorder="1"/>
    <xf numFmtId="166" fontId="0" fillId="2" borderId="9" xfId="0" applyNumberFormat="1" applyFill="1" applyBorder="1"/>
    <xf numFmtId="169" fontId="0" fillId="2" borderId="9" xfId="0" applyNumberFormat="1" applyFill="1" applyBorder="1" applyAlignment="1">
      <alignment horizontal="center"/>
    </xf>
    <xf numFmtId="9" fontId="0" fillId="2" borderId="9" xfId="0" applyNumberFormat="1" applyFill="1" applyBorder="1" applyAlignment="1">
      <alignment horizontal="center"/>
    </xf>
    <xf numFmtId="0" fontId="0" fillId="2" borderId="9" xfId="0" applyFill="1" applyBorder="1"/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6" fillId="3" borderId="9" xfId="0" applyFont="1" applyFill="1" applyBorder="1" applyAlignment="1">
      <alignment horizontal="center" wrapText="1"/>
    </xf>
    <xf numFmtId="170" fontId="0" fillId="0" borderId="9" xfId="0" applyNumberFormat="1" applyBorder="1"/>
    <xf numFmtId="0" fontId="0" fillId="0" borderId="9" xfId="0" applyBorder="1"/>
    <xf numFmtId="166" fontId="0" fillId="0" borderId="9" xfId="0" applyNumberFormat="1" applyBorder="1"/>
    <xf numFmtId="164" fontId="0" fillId="0" borderId="9" xfId="0" applyNumberFormat="1" applyBorder="1"/>
    <xf numFmtId="165" fontId="0" fillId="0" borderId="9" xfId="0" applyNumberFormat="1" applyBorder="1"/>
    <xf numFmtId="0" fontId="2" fillId="0" borderId="9" xfId="0" applyFont="1" applyBorder="1"/>
    <xf numFmtId="10" fontId="0" fillId="0" borderId="9" xfId="0" applyNumberFormat="1" applyBorder="1"/>
    <xf numFmtId="171" fontId="6" fillId="6" borderId="9" xfId="0" applyNumberFormat="1" applyFont="1" applyFill="1" applyBorder="1"/>
    <xf numFmtId="172" fontId="2" fillId="6" borderId="9" xfId="0" applyNumberFormat="1" applyFont="1" applyFill="1" applyBorder="1"/>
    <xf numFmtId="173" fontId="2" fillId="6" borderId="9" xfId="0" applyNumberFormat="1" applyFont="1" applyFill="1" applyBorder="1"/>
    <xf numFmtId="165" fontId="2" fillId="6" borderId="9" xfId="0" applyNumberFormat="1" applyFont="1" applyFill="1" applyBorder="1"/>
    <xf numFmtId="171" fontId="2" fillId="5" borderId="9" xfId="0" applyNumberFormat="1" applyFont="1" applyFill="1" applyBorder="1"/>
    <xf numFmtId="0" fontId="0" fillId="5" borderId="9" xfId="0" applyFill="1" applyBorder="1"/>
    <xf numFmtId="172" fontId="0" fillId="5" borderId="9" xfId="0" applyNumberFormat="1" applyFill="1" applyBorder="1"/>
    <xf numFmtId="173" fontId="0" fillId="5" borderId="9" xfId="0" applyNumberFormat="1" applyFill="1" applyBorder="1"/>
    <xf numFmtId="165" fontId="0" fillId="5" borderId="9" xfId="0" applyNumberFormat="1" applyFill="1" applyBorder="1"/>
    <xf numFmtId="171" fontId="2" fillId="6" borderId="9" xfId="0" applyNumberFormat="1" applyFont="1" applyFill="1" applyBorder="1"/>
    <xf numFmtId="166" fontId="2" fillId="6" borderId="9" xfId="0" applyNumberFormat="1" applyFont="1" applyFill="1" applyBorder="1"/>
    <xf numFmtId="164" fontId="2" fillId="6" borderId="9" xfId="0" applyNumberFormat="1" applyFont="1" applyFill="1" applyBorder="1"/>
    <xf numFmtId="0" fontId="2" fillId="5" borderId="9" xfId="0" applyFont="1" applyFill="1" applyBorder="1" applyAlignment="1">
      <alignment horizontal="left"/>
    </xf>
    <xf numFmtId="0" fontId="13" fillId="7" borderId="9" xfId="0" applyFont="1" applyFill="1" applyBorder="1" applyAlignment="1">
      <alignment horizontal="center"/>
    </xf>
    <xf numFmtId="0" fontId="14" fillId="8" borderId="9" xfId="0" applyFont="1" applyFill="1" applyBorder="1" applyAlignment="1">
      <alignment horizontal="center"/>
    </xf>
    <xf numFmtId="0" fontId="15" fillId="9" borderId="9" xfId="0" applyFont="1" applyFill="1" applyBorder="1" applyAlignment="1">
      <alignment horizontal="center"/>
    </xf>
    <xf numFmtId="0" fontId="16" fillId="10" borderId="9" xfId="0" applyFont="1" applyFill="1" applyBorder="1" applyAlignment="1">
      <alignment horizontal="center"/>
    </xf>
    <xf numFmtId="0" fontId="5" fillId="5" borderId="0" xfId="0" applyFont="1" applyFill="1" applyAlignment="1">
      <alignment horizontal="left"/>
    </xf>
    <xf numFmtId="9" fontId="0" fillId="0" borderId="9" xfId="0" applyNumberFormat="1" applyBorder="1" applyAlignment="1">
      <alignment horizontal="center"/>
    </xf>
    <xf numFmtId="0" fontId="17" fillId="0" borderId="0" xfId="0" applyFont="1"/>
    <xf numFmtId="0" fontId="4" fillId="0" borderId="0" xfId="0" applyFont="1"/>
    <xf numFmtId="0" fontId="5" fillId="0" borderId="0" xfId="0" applyFont="1"/>
    <xf numFmtId="0" fontId="2" fillId="6" borderId="0" xfId="0" applyFont="1" applyFill="1"/>
    <xf numFmtId="0" fontId="13" fillId="7" borderId="0" xfId="0" applyFont="1" applyFill="1"/>
    <xf numFmtId="0" fontId="15" fillId="9" borderId="0" xfId="0" applyFont="1" applyFill="1"/>
    <xf numFmtId="0" fontId="16" fillId="10" borderId="0" xfId="0" applyFont="1" applyFill="1"/>
    <xf numFmtId="0" fontId="0" fillId="0" borderId="0" xfId="0" applyAlignment="1">
      <alignment vertical="top"/>
    </xf>
    <xf numFmtId="0" fontId="22" fillId="11" borderId="0" xfId="0" applyFont="1" applyFill="1" applyAlignment="1">
      <alignment vertical="top" wrapText="1"/>
    </xf>
    <xf numFmtId="0" fontId="24" fillId="0" borderId="0" xfId="0" applyFont="1" applyAlignment="1">
      <alignment horizontal="center" vertical="center"/>
    </xf>
    <xf numFmtId="0" fontId="24" fillId="13" borderId="0" xfId="0" applyFont="1" applyFill="1" applyAlignment="1">
      <alignment horizontal="center" vertical="center"/>
    </xf>
    <xf numFmtId="0" fontId="0" fillId="14" borderId="0" xfId="0" applyFill="1"/>
    <xf numFmtId="0" fontId="25" fillId="0" borderId="0" xfId="0" applyFont="1"/>
    <xf numFmtId="0" fontId="0" fillId="0" borderId="0" xfId="0"/>
    <xf numFmtId="0" fontId="21" fillId="0" borderId="0" xfId="0" applyFont="1" applyAlignment="1">
      <alignment vertical="top" wrapText="1"/>
    </xf>
    <xf numFmtId="0" fontId="18" fillId="0" borderId="0" xfId="1" applyBorder="1" applyAlignment="1">
      <alignment horizontal="center"/>
    </xf>
    <xf numFmtId="0" fontId="20" fillId="0" borderId="0" xfId="0" applyFont="1"/>
    <xf numFmtId="0" fontId="19" fillId="13" borderId="0" xfId="0" applyFont="1" applyFill="1" applyAlignment="1">
      <alignment horizontal="center" vertical="center"/>
    </xf>
    <xf numFmtId="0" fontId="26" fillId="15" borderId="0" xfId="0" applyFont="1" applyFill="1" applyAlignment="1">
      <alignment horizontal="center" vertical="top"/>
    </xf>
    <xf numFmtId="0" fontId="23" fillId="12" borderId="0" xfId="0" applyFont="1" applyFill="1" applyAlignment="1">
      <alignment horizontal="center" vertical="top" wrapText="1"/>
    </xf>
    <xf numFmtId="0" fontId="22" fillId="12" borderId="0" xfId="0" applyFont="1" applyFill="1" applyAlignment="1">
      <alignment horizontal="center" vertical="top" wrapText="1"/>
    </xf>
    <xf numFmtId="0" fontId="11" fillId="0" borderId="0" xfId="0" applyFont="1"/>
  </cellXfs>
  <cellStyles count="2">
    <cellStyle name="Hyperlink" xfId="1" builtinId="8"/>
    <cellStyle name="Normal" xfId="0" builtinId="0"/>
  </cellStyles>
  <dxfs count="84">
    <dxf>
      <fill>
        <patternFill>
          <bgColor rgb="FFF8D7DA"/>
        </patternFill>
      </fill>
    </dxf>
    <dxf>
      <fill>
        <patternFill>
          <bgColor rgb="FFFFF3CD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FFF3CD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FFF3CD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FFF3CD"/>
        </patternFill>
      </fill>
    </dxf>
    <dxf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721C24"/>
      </font>
      <fill>
        <patternFill>
          <bgColor rgb="FFF8D7DA"/>
        </patternFill>
      </fill>
    </dxf>
    <dxf>
      <font>
        <color rgb="FF856404"/>
      </font>
      <fill>
        <patternFill>
          <bgColor rgb="FFFFF3CD"/>
        </patternFill>
      </fill>
    </dxf>
    <dxf>
      <font>
        <color rgb="FF155724"/>
      </font>
      <fill>
        <patternFill>
          <bgColor rgb="FFD4EDDA"/>
        </patternFill>
      </fill>
    </dxf>
    <dxf>
      <font>
        <color rgb="FF721C24"/>
      </font>
    </dxf>
    <dxf>
      <font>
        <color rgb="FF856404"/>
      </font>
    </dxf>
    <dxf>
      <font>
        <color rgb="FF155724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21C24"/>
      <rgbColor rgb="FF196B24"/>
      <rgbColor rgb="FF000080"/>
      <rgbColor rgb="FF856404"/>
      <rgbColor rgb="FF800080"/>
      <rgbColor rgb="FF156082"/>
      <rgbColor rgb="FFCCCCCC"/>
      <rgbColor rgb="FF808080"/>
      <rgbColor rgb="FF9999FF"/>
      <rgbColor rgb="FF993366"/>
      <rgbColor rgb="FFFFF3CD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2E7D32"/>
      <rgbColor rgb="FF0000FF"/>
      <rgbColor rgb="FF0F9ED5"/>
      <rgbColor rgb="FFF5F5F5"/>
      <rgbColor rgb="FFD4EDDA"/>
      <rgbColor rgb="FFF8F9FA"/>
      <rgbColor rgb="FFE8E8E8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E97132"/>
      <rgbColor rgb="FF666666"/>
      <rgbColor rgb="FF999999"/>
      <rgbColor rgb="FF1E3A5F"/>
      <rgbColor rgb="FF2E86AB"/>
      <rgbColor rgb="FF155724"/>
      <rgbColor rgb="FF333300"/>
      <rgbColor rgb="FF993300"/>
      <rgbColor rgb="FF993366"/>
      <rgbColor rgb="FF33339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100" b="1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100" b="1" strike="noStrike" spc="-1">
                <a:solidFill>
                  <a:srgbClr val="595959"/>
                </a:solidFill>
                <a:latin typeface="Aptos Narrow"/>
              </a:rPr>
              <a:t>Cost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Overview'!$C$40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15608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CAC3-4B4E-AB88-92B3F89A05E9}"/>
              </c:ext>
            </c:extLst>
          </c:dPt>
          <c:dPt>
            <c:idx val="1"/>
            <c:bubble3D val="0"/>
            <c:spPr>
              <a:solidFill>
                <a:srgbClr val="E9713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CAC3-4B4E-AB88-92B3F89A05E9}"/>
              </c:ext>
            </c:extLst>
          </c:dPt>
          <c:dPt>
            <c:idx val="2"/>
            <c:bubble3D val="0"/>
            <c:spPr>
              <a:solidFill>
                <a:srgbClr val="196B24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CAC3-4B4E-AB88-92B3F89A05E9}"/>
              </c:ext>
            </c:extLst>
          </c:dPt>
          <c:dPt>
            <c:idx val="3"/>
            <c:bubble3D val="0"/>
            <c:spPr>
              <a:solidFill>
                <a:srgbClr val="0F9ED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CAC3-4B4E-AB88-92B3F89A05E9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ptos Narrow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C3-4B4E-AB88-92B3F89A05E9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ptos Narrow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C3-4B4E-AB88-92B3F89A05E9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ptos Narrow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C3-4B4E-AB88-92B3F89A05E9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ptos Narrow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C3-4B4E-AB88-92B3F89A05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Overview'!$B$41:$B$44</c:f>
              <c:strCache>
                <c:ptCount val="4"/>
                <c:pt idx="0">
                  <c:v>Food Cost</c:v>
                </c:pt>
                <c:pt idx="1">
                  <c:v>Labor Cost</c:v>
                </c:pt>
                <c:pt idx="2">
                  <c:v>Waste Cost</c:v>
                </c:pt>
                <c:pt idx="3">
                  <c:v>Operating Exp</c:v>
                </c:pt>
              </c:strCache>
            </c:strRef>
          </c:cat>
          <c:val>
            <c:numRef>
              <c:f>'Dashboard Overview'!$C$41:$C$44</c:f>
              <c:numCache>
                <c:formatCode>[$$-409]#,##0</c:formatCode>
                <c:ptCount val="4"/>
                <c:pt idx="0">
                  <c:v>48095</c:v>
                </c:pt>
                <c:pt idx="1">
                  <c:v>58036</c:v>
                </c:pt>
                <c:pt idx="2">
                  <c:v>3790</c:v>
                </c:pt>
                <c:pt idx="3">
                  <c:v>16454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C3-4B4E-AB88-92B3F89A0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200" b="1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200" b="1" strike="noStrike" spc="-1">
                <a:solidFill>
                  <a:srgbClr val="595959"/>
                </a:solidFill>
                <a:latin typeface="Aptos Narrow"/>
              </a:rPr>
              <a:t>Daily Sales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'Daily Sales Tracker'!$D$5</c:f>
              <c:strCache>
                <c:ptCount val="1"/>
                <c:pt idx="0">
                  <c:v>Total Sales</c:v>
                </c:pt>
              </c:strCache>
            </c:strRef>
          </c:tx>
          <c:spPr>
            <a:ln w="28440" cap="rnd">
              <a:solidFill>
                <a:srgbClr val="15608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'Daily Sales Tracker'!$B$6:$C$35</c:f>
              <c:multiLvlStrCache>
                <c:ptCount val="30"/>
                <c:lvl>
                  <c:pt idx="0">
                    <c:v>Friday</c:v>
                  </c:pt>
                  <c:pt idx="1">
                    <c:v>Saturday</c:v>
                  </c:pt>
                  <c:pt idx="2">
                    <c:v>Sunday</c:v>
                  </c:pt>
                  <c:pt idx="3">
                    <c:v>Monday</c:v>
                  </c:pt>
                  <c:pt idx="4">
                    <c:v>Tuesday</c:v>
                  </c:pt>
                  <c:pt idx="5">
                    <c:v>Wednesday</c:v>
                  </c:pt>
                  <c:pt idx="6">
                    <c:v>Thursday</c:v>
                  </c:pt>
                  <c:pt idx="7">
                    <c:v>Friday</c:v>
                  </c:pt>
                  <c:pt idx="8">
                    <c:v>Saturday</c:v>
                  </c:pt>
                  <c:pt idx="9">
                    <c:v>Sunday</c:v>
                  </c:pt>
                  <c:pt idx="10">
                    <c:v>Monday</c:v>
                  </c:pt>
                  <c:pt idx="11">
                    <c:v>Tuesday</c:v>
                  </c:pt>
                  <c:pt idx="12">
                    <c:v>Wednesday</c:v>
                  </c:pt>
                  <c:pt idx="13">
                    <c:v>Thursday</c:v>
                  </c:pt>
                  <c:pt idx="14">
                    <c:v>Friday</c:v>
                  </c:pt>
                  <c:pt idx="15">
                    <c:v>Saturday</c:v>
                  </c:pt>
                  <c:pt idx="16">
                    <c:v>Sunday</c:v>
                  </c:pt>
                  <c:pt idx="17">
                    <c:v>Monday</c:v>
                  </c:pt>
                  <c:pt idx="18">
                    <c:v>Tuesday</c:v>
                  </c:pt>
                  <c:pt idx="19">
                    <c:v>Wednesday</c:v>
                  </c:pt>
                  <c:pt idx="20">
                    <c:v>Thursday</c:v>
                  </c:pt>
                  <c:pt idx="21">
                    <c:v>Friday</c:v>
                  </c:pt>
                  <c:pt idx="22">
                    <c:v>Saturday</c:v>
                  </c:pt>
                  <c:pt idx="23">
                    <c:v>Sunday</c:v>
                  </c:pt>
                  <c:pt idx="24">
                    <c:v>Monday</c:v>
                  </c:pt>
                  <c:pt idx="25">
                    <c:v>Tuesday</c:v>
                  </c:pt>
                  <c:pt idx="26">
                    <c:v>Wednesday</c:v>
                  </c:pt>
                  <c:pt idx="27">
                    <c:v>Thursday</c:v>
                  </c:pt>
                  <c:pt idx="28">
                    <c:v>Friday</c:v>
                  </c:pt>
                  <c:pt idx="29">
                    <c:v>Saturday</c:v>
                  </c:pt>
                </c:lvl>
                <c:lvl>
                  <c:pt idx="0">
                    <c:v>2026-04-30</c:v>
                  </c:pt>
                  <c:pt idx="1">
                    <c:v>2026-05-01</c:v>
                  </c:pt>
                  <c:pt idx="2">
                    <c:v>2026-05-02</c:v>
                  </c:pt>
                  <c:pt idx="3">
                    <c:v>2026-05-03</c:v>
                  </c:pt>
                  <c:pt idx="4">
                    <c:v>2026-05-04</c:v>
                  </c:pt>
                  <c:pt idx="5">
                    <c:v>2026-05-05</c:v>
                  </c:pt>
                  <c:pt idx="6">
                    <c:v>2026-05-06</c:v>
                  </c:pt>
                  <c:pt idx="7">
                    <c:v>2026-05-07</c:v>
                  </c:pt>
                  <c:pt idx="8">
                    <c:v>2026-05-08</c:v>
                  </c:pt>
                  <c:pt idx="9">
                    <c:v>2026-05-09</c:v>
                  </c:pt>
                  <c:pt idx="10">
                    <c:v>2026-05-10</c:v>
                  </c:pt>
                  <c:pt idx="11">
                    <c:v>2026-05-11</c:v>
                  </c:pt>
                  <c:pt idx="12">
                    <c:v>2026-05-12</c:v>
                  </c:pt>
                  <c:pt idx="13">
                    <c:v>2026-05-13</c:v>
                  </c:pt>
                  <c:pt idx="14">
                    <c:v>2026-05-14</c:v>
                  </c:pt>
                  <c:pt idx="15">
                    <c:v>2026-05-15</c:v>
                  </c:pt>
                  <c:pt idx="16">
                    <c:v>2026-05-16</c:v>
                  </c:pt>
                  <c:pt idx="17">
                    <c:v>2026-05-17</c:v>
                  </c:pt>
                  <c:pt idx="18">
                    <c:v>2026-05-18</c:v>
                  </c:pt>
                  <c:pt idx="19">
                    <c:v>2026-05-19</c:v>
                  </c:pt>
                  <c:pt idx="20">
                    <c:v>2026-05-20</c:v>
                  </c:pt>
                  <c:pt idx="21">
                    <c:v>2026-05-21</c:v>
                  </c:pt>
                  <c:pt idx="22">
                    <c:v>2026-05-22</c:v>
                  </c:pt>
                  <c:pt idx="23">
                    <c:v>2026-05-23</c:v>
                  </c:pt>
                  <c:pt idx="24">
                    <c:v>2026-05-24</c:v>
                  </c:pt>
                  <c:pt idx="25">
                    <c:v>2026-05-25</c:v>
                  </c:pt>
                  <c:pt idx="26">
                    <c:v>2026-05-26</c:v>
                  </c:pt>
                  <c:pt idx="27">
                    <c:v>2026-05-27</c:v>
                  </c:pt>
                  <c:pt idx="28">
                    <c:v>2026-05-28</c:v>
                  </c:pt>
                  <c:pt idx="29">
                    <c:v>2026-05-29</c:v>
                  </c:pt>
                </c:lvl>
              </c:multiLvlStrCache>
            </c:multiLvlStrRef>
          </c:cat>
          <c:val>
            <c:numRef>
              <c:f>'Daily Sales Tracker'!$D$6:$D$35</c:f>
              <c:numCache>
                <c:formatCode>[$$-409]#,##0</c:formatCode>
                <c:ptCount val="30"/>
                <c:pt idx="0">
                  <c:v>9151</c:v>
                </c:pt>
                <c:pt idx="1">
                  <c:v>8933</c:v>
                </c:pt>
                <c:pt idx="2">
                  <c:v>9095</c:v>
                </c:pt>
                <c:pt idx="3">
                  <c:v>6327</c:v>
                </c:pt>
                <c:pt idx="4">
                  <c:v>6322</c:v>
                </c:pt>
                <c:pt idx="5">
                  <c:v>5822</c:v>
                </c:pt>
                <c:pt idx="6">
                  <c:v>4726</c:v>
                </c:pt>
                <c:pt idx="7">
                  <c:v>9436</c:v>
                </c:pt>
                <c:pt idx="8">
                  <c:v>7914</c:v>
                </c:pt>
                <c:pt idx="9">
                  <c:v>8438</c:v>
                </c:pt>
                <c:pt idx="10">
                  <c:v>5466</c:v>
                </c:pt>
                <c:pt idx="11">
                  <c:v>5188</c:v>
                </c:pt>
                <c:pt idx="12">
                  <c:v>5437</c:v>
                </c:pt>
                <c:pt idx="13">
                  <c:v>6078</c:v>
                </c:pt>
                <c:pt idx="14">
                  <c:v>7795</c:v>
                </c:pt>
                <c:pt idx="15">
                  <c:v>8621</c:v>
                </c:pt>
                <c:pt idx="16">
                  <c:v>8098</c:v>
                </c:pt>
                <c:pt idx="17">
                  <c:v>5061</c:v>
                </c:pt>
                <c:pt idx="18">
                  <c:v>5379</c:v>
                </c:pt>
                <c:pt idx="19">
                  <c:v>4893</c:v>
                </c:pt>
                <c:pt idx="20">
                  <c:v>4941</c:v>
                </c:pt>
                <c:pt idx="21">
                  <c:v>8173</c:v>
                </c:pt>
                <c:pt idx="22">
                  <c:v>7506</c:v>
                </c:pt>
                <c:pt idx="23">
                  <c:v>7638</c:v>
                </c:pt>
                <c:pt idx="24">
                  <c:v>5768</c:v>
                </c:pt>
                <c:pt idx="25">
                  <c:v>6320</c:v>
                </c:pt>
                <c:pt idx="26">
                  <c:v>5244</c:v>
                </c:pt>
                <c:pt idx="27">
                  <c:v>4795</c:v>
                </c:pt>
                <c:pt idx="28">
                  <c:v>8626</c:v>
                </c:pt>
                <c:pt idx="29">
                  <c:v>8490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4-463B-8131-1C56E374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97160636"/>
        <c:axId val="80691828"/>
      </c:lineChart>
      <c:catAx>
        <c:axId val="971606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80691828"/>
        <c:crosses val="autoZero"/>
        <c:auto val="1"/>
        <c:lblAlgn val="ctr"/>
        <c:lblOffset val="100"/>
        <c:noMultiLvlLbl val="0"/>
      </c:catAx>
      <c:valAx>
        <c:axId val="8069182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[$$-409]#,##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97160636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200" b="1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200" b="1" strike="noStrike" spc="-1">
                <a:solidFill>
                  <a:srgbClr val="595959"/>
                </a:solidFill>
                <a:latin typeface="Aptos Narrow"/>
              </a:rPr>
              <a:t>Weekly Sales &amp; Cost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'Weekly Summary'!$D$5</c:f>
              <c:strCache>
                <c:ptCount val="1"/>
                <c:pt idx="0">
                  <c:v>Total Sales</c:v>
                </c:pt>
              </c:strCache>
            </c:strRef>
          </c:tx>
          <c:spPr>
            <a:ln w="28440" cap="rnd">
              <a:solidFill>
                <a:srgbClr val="15608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'Weekly Summary'!$B$6:$C$10</c:f>
              <c:multiLvlStrCache>
                <c:ptCount val="5"/>
                <c:lvl>
                  <c:pt idx="0">
                    <c:v>2026-04-30</c:v>
                  </c:pt>
                  <c:pt idx="1">
                    <c:v>2026-05-07</c:v>
                  </c:pt>
                  <c:pt idx="2">
                    <c:v>2026-05-14</c:v>
                  </c:pt>
                  <c:pt idx="3">
                    <c:v>2026-05-21</c:v>
                  </c:pt>
                  <c:pt idx="4">
                    <c:v>2026-05-28</c:v>
                  </c:pt>
                </c:lvl>
                <c:lvl>
                  <c:pt idx="0">
                    <c:v>Week 1</c:v>
                  </c:pt>
                  <c:pt idx="1">
                    <c:v>Week 2</c:v>
                  </c:pt>
                  <c:pt idx="2">
                    <c:v>Week 3</c:v>
                  </c:pt>
                  <c:pt idx="3">
                    <c:v>Week 4</c:v>
                  </c:pt>
                  <c:pt idx="4">
                    <c:v>Week 5</c:v>
                  </c:pt>
                </c:lvl>
              </c:multiLvlStrCache>
            </c:multiLvlStrRef>
          </c:cat>
          <c:val>
            <c:numRef>
              <c:f>'Weekly Summary'!$D$6:$D$10</c:f>
              <c:numCache>
                <c:formatCode>[$$-409]#,##0</c:formatCode>
                <c:ptCount val="5"/>
                <c:pt idx="0">
                  <c:v>50376</c:v>
                </c:pt>
                <c:pt idx="1">
                  <c:v>47957</c:v>
                </c:pt>
                <c:pt idx="2">
                  <c:v>44788</c:v>
                </c:pt>
                <c:pt idx="3">
                  <c:v>45444</c:v>
                </c:pt>
                <c:pt idx="4">
                  <c:v>17116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5-499B-90E5-B60E7AAC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4830391"/>
        <c:axId val="74939729"/>
      </c:lineChart>
      <c:catAx>
        <c:axId val="4483039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74939729"/>
        <c:crosses val="autoZero"/>
        <c:auto val="1"/>
        <c:lblAlgn val="ctr"/>
        <c:lblOffset val="100"/>
        <c:noMultiLvlLbl val="0"/>
      </c:catAx>
      <c:valAx>
        <c:axId val="7493972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[$$-409]#,##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44830391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200" b="1" strike="noStrike" spc="-1">
                <a:solidFill>
                  <a:srgbClr val="595959"/>
                </a:solidFill>
                <a:latin typeface="Aptos Narrow"/>
              </a:defRPr>
            </a:pPr>
            <a:r>
              <a:rPr lang="en-US" sz="1200" b="1" strike="noStrike" spc="-1">
                <a:solidFill>
                  <a:srgbClr val="595959"/>
                </a:solidFill>
                <a:latin typeface="Aptos Narrow"/>
              </a:rPr>
              <a:t>Monthly Revenue Trend (YTD)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Summary'!$C$5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1E3A5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Summary'!$B$6:$B$10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'Monthly Summary'!$C$6:$C$10</c:f>
              <c:numCache>
                <c:formatCode>[$$-409]#,##0</c:formatCode>
                <c:ptCount val="5"/>
                <c:pt idx="0">
                  <c:v>182500</c:v>
                </c:pt>
                <c:pt idx="1">
                  <c:v>168000</c:v>
                </c:pt>
                <c:pt idx="2">
                  <c:v>195000</c:v>
                </c:pt>
                <c:pt idx="3">
                  <c:v>188500</c:v>
                </c:pt>
                <c:pt idx="4">
                  <c:v>205681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C-4760-8F4D-DCCD0ED80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712896"/>
        <c:axId val="44969094"/>
      </c:barChart>
      <c:catAx>
        <c:axId val="66712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44969094"/>
        <c:crosses val="autoZero"/>
        <c:auto val="1"/>
        <c:lblAlgn val="ctr"/>
        <c:lblOffset val="100"/>
        <c:noMultiLvlLbl val="0"/>
      </c:catAx>
      <c:valAx>
        <c:axId val="4496909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[$$-409]#,##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n-US"/>
          </a:p>
        </c:txPr>
        <c:crossAx val="6671289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restaurantassociation.com/resources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9</xdr:row>
      <xdr:rowOff>104776</xdr:rowOff>
    </xdr:from>
    <xdr:to>
      <xdr:col>15</xdr:col>
      <xdr:colOff>247650</xdr:colOff>
      <xdr:row>10</xdr:row>
      <xdr:rowOff>47625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DFA69-ACC9-4D65-A655-D8760CA510E5}"/>
            </a:ext>
          </a:extLst>
        </xdr:cNvPr>
        <xdr:cNvSpPr/>
      </xdr:nvSpPr>
      <xdr:spPr>
        <a:xfrm>
          <a:off x="7724775" y="2247901"/>
          <a:ext cx="1695450" cy="333374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0"/>
            <a:t>Learn</a:t>
          </a:r>
          <a:r>
            <a:rPr lang="en-IN" sz="1200" b="0" baseline="0"/>
            <a:t> More</a:t>
          </a:r>
          <a:endParaRPr lang="en-IN" sz="1200" b="0"/>
        </a:p>
      </xdr:txBody>
    </xdr:sp>
    <xdr:clientData/>
  </xdr:twoCellAnchor>
  <xdr:twoCellAnchor>
    <xdr:from>
      <xdr:col>12</xdr:col>
      <xdr:colOff>381000</xdr:colOff>
      <xdr:row>9</xdr:row>
      <xdr:rowOff>104776</xdr:rowOff>
    </xdr:from>
    <xdr:to>
      <xdr:col>15</xdr:col>
      <xdr:colOff>247650</xdr:colOff>
      <xdr:row>10</xdr:row>
      <xdr:rowOff>47625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7E510-4642-4E7B-AEEE-04FE62C823A2}"/>
            </a:ext>
          </a:extLst>
        </xdr:cNvPr>
        <xdr:cNvSpPr/>
      </xdr:nvSpPr>
      <xdr:spPr>
        <a:xfrm>
          <a:off x="7724775" y="2247901"/>
          <a:ext cx="1695450" cy="333374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0"/>
            <a:t>Learn</a:t>
          </a:r>
          <a:r>
            <a:rPr lang="en-IN" sz="1200" b="0" baseline="0"/>
            <a:t> More</a:t>
          </a:r>
          <a:endParaRPr lang="en-IN" sz="1200" b="0"/>
        </a:p>
      </xdr:txBody>
    </xdr:sp>
    <xdr:clientData/>
  </xdr:twoCellAnchor>
  <xdr:twoCellAnchor>
    <xdr:from>
      <xdr:col>13</xdr:col>
      <xdr:colOff>0</xdr:colOff>
      <xdr:row>9</xdr:row>
      <xdr:rowOff>104776</xdr:rowOff>
    </xdr:from>
    <xdr:to>
      <xdr:col>15</xdr:col>
      <xdr:colOff>114300</xdr:colOff>
      <xdr:row>10</xdr:row>
      <xdr:rowOff>38100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7D04D1-E070-4A61-AC0D-8E8917C8D29C}"/>
            </a:ext>
          </a:extLst>
        </xdr:cNvPr>
        <xdr:cNvSpPr/>
      </xdr:nvSpPr>
      <xdr:spPr>
        <a:xfrm>
          <a:off x="7953375" y="2247901"/>
          <a:ext cx="1333500" cy="323849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/>
            <a:t>Explore Now</a:t>
          </a:r>
          <a:endParaRPr lang="en-IN" sz="12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219240</xdr:colOff>
      <xdr:row>39</xdr:row>
      <xdr:rowOff>9360</xdr:rowOff>
    </xdr:from>
    <xdr:to>
      <xdr:col>7</xdr:col>
      <xdr:colOff>1066320</xdr:colOff>
      <xdr:row>50</xdr:row>
      <xdr:rowOff>56160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428760</xdr:colOff>
      <xdr:row>6</xdr:row>
      <xdr:rowOff>95400</xdr:rowOff>
    </xdr:from>
    <xdr:to>
      <xdr:col>39</xdr:col>
      <xdr:colOff>551880</xdr:colOff>
      <xdr:row>30</xdr:row>
      <xdr:rowOff>142200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1523160</xdr:colOff>
      <xdr:row>27</xdr:row>
      <xdr:rowOff>189720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38160</xdr:colOff>
      <xdr:row>22</xdr:row>
      <xdr:rowOff>114480</xdr:rowOff>
    </xdr:from>
    <xdr:to>
      <xdr:col>8</xdr:col>
      <xdr:colOff>37440</xdr:colOff>
      <xdr:row>36</xdr:row>
      <xdr:rowOff>113760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staurantassociation.com/unified/signu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C7A6-2910-4E67-84E7-7B29ACD01A76}">
  <dimension ref="A1:R20"/>
  <sheetViews>
    <sheetView showGridLines="0" tabSelected="1" workbookViewId="0">
      <selection activeCell="AC26" sqref="AC26"/>
    </sheetView>
  </sheetViews>
  <sheetFormatPr defaultRowHeight="15" x14ac:dyDescent="0.25"/>
  <cols>
    <col min="1" max="1" width="5" customWidth="1"/>
    <col min="2" max="2" width="8.5703125" customWidth="1"/>
    <col min="3" max="3" width="1.5703125" customWidth="1"/>
    <col min="4" max="10" width="12" customWidth="1"/>
    <col min="11" max="11" width="1.85546875" customWidth="1"/>
  </cols>
  <sheetData>
    <row r="1" spans="1:18" ht="15" customHeight="1" x14ac:dyDescent="0.25">
      <c r="A1" s="80" t="s">
        <v>283</v>
      </c>
      <c r="B1" s="80"/>
      <c r="C1" s="80"/>
      <c r="D1" s="80"/>
      <c r="E1" s="80"/>
      <c r="F1" s="80"/>
      <c r="G1" s="80"/>
      <c r="H1" s="80"/>
      <c r="I1" s="80"/>
      <c r="J1" s="80"/>
      <c r="K1" s="81" t="e" vm="1">
        <v>#VALUE!</v>
      </c>
      <c r="L1" s="81"/>
      <c r="M1" s="81"/>
      <c r="N1" s="81"/>
      <c r="O1" s="81"/>
      <c r="P1" s="81"/>
      <c r="Q1" s="81"/>
      <c r="R1" s="70"/>
    </row>
    <row r="2" spans="1:18" ht="18.75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1"/>
      <c r="L2" s="81"/>
      <c r="M2" s="81"/>
      <c r="N2" s="81"/>
      <c r="O2" s="81"/>
      <c r="P2" s="81"/>
      <c r="Q2" s="81"/>
      <c r="R2" s="70"/>
    </row>
    <row r="3" spans="1:18" ht="12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  <c r="N3" s="81"/>
      <c r="O3" s="81"/>
      <c r="P3" s="81"/>
      <c r="Q3" s="81"/>
      <c r="R3" s="70"/>
    </row>
    <row r="4" spans="1:18" x14ac:dyDescent="0.25">
      <c r="L4" s="70"/>
      <c r="M4" s="70"/>
      <c r="N4" s="70"/>
      <c r="O4" s="70"/>
      <c r="P4" s="70"/>
      <c r="Q4" s="70"/>
      <c r="R4" s="70"/>
    </row>
    <row r="5" spans="1:18" ht="18.75" x14ac:dyDescent="0.3">
      <c r="B5" s="79" t="s">
        <v>0</v>
      </c>
      <c r="C5" s="79"/>
      <c r="D5" s="76"/>
      <c r="E5" s="76"/>
      <c r="F5" s="76"/>
      <c r="G5" s="76"/>
      <c r="H5" s="76"/>
      <c r="I5" s="76"/>
      <c r="J5" s="76"/>
      <c r="L5" s="70"/>
      <c r="M5" s="70"/>
      <c r="N5" s="70"/>
      <c r="O5" s="70"/>
      <c r="P5" s="70"/>
      <c r="Q5" s="70"/>
      <c r="R5" s="70"/>
    </row>
    <row r="6" spans="1:18" ht="21" x14ac:dyDescent="0.25">
      <c r="B6" s="77" t="s">
        <v>284</v>
      </c>
      <c r="C6" s="77"/>
      <c r="D6" s="76"/>
      <c r="E6" s="76"/>
      <c r="F6" s="76"/>
      <c r="G6" s="76"/>
      <c r="H6" s="76"/>
      <c r="I6" s="76"/>
      <c r="J6" s="76"/>
      <c r="L6" s="71"/>
      <c r="M6" s="71"/>
      <c r="N6" s="71"/>
      <c r="O6" s="71"/>
      <c r="P6" s="71"/>
      <c r="Q6" s="71"/>
      <c r="R6" s="70"/>
    </row>
    <row r="7" spans="1:18" ht="10.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L7" s="71"/>
      <c r="M7" s="82" t="s">
        <v>282</v>
      </c>
      <c r="N7" s="83"/>
      <c r="O7" s="83"/>
      <c r="P7" s="83"/>
      <c r="Q7" s="71"/>
      <c r="R7" s="70"/>
    </row>
    <row r="8" spans="1:18" ht="21" x14ac:dyDescent="0.25">
      <c r="L8" s="71"/>
      <c r="M8" s="83"/>
      <c r="N8" s="83"/>
      <c r="O8" s="83"/>
      <c r="P8" s="83"/>
      <c r="Q8" s="71"/>
      <c r="R8" s="70"/>
    </row>
    <row r="9" spans="1:18" ht="21" x14ac:dyDescent="0.3">
      <c r="B9" s="73">
        <v>1</v>
      </c>
      <c r="C9" s="72"/>
      <c r="D9" s="75" t="s">
        <v>286</v>
      </c>
      <c r="E9" s="76"/>
      <c r="F9" s="76"/>
      <c r="G9" s="76"/>
      <c r="H9" s="76"/>
      <c r="I9" s="76"/>
      <c r="J9" s="76"/>
      <c r="L9" s="71"/>
      <c r="M9" s="83"/>
      <c r="N9" s="83"/>
      <c r="O9" s="83"/>
      <c r="P9" s="83"/>
      <c r="Q9" s="71"/>
      <c r="R9" s="70"/>
    </row>
    <row r="10" spans="1:18" ht="32.25" customHeight="1" x14ac:dyDescent="0.25">
      <c r="B10" s="74"/>
      <c r="D10" s="77" t="s">
        <v>285</v>
      </c>
      <c r="E10" s="76"/>
      <c r="F10" s="76"/>
      <c r="G10" s="76"/>
      <c r="H10" s="76"/>
      <c r="I10" s="76"/>
      <c r="J10" s="76"/>
      <c r="L10" s="71"/>
      <c r="M10" s="83"/>
      <c r="N10" s="83"/>
      <c r="O10" s="83"/>
      <c r="P10" s="83"/>
      <c r="Q10" s="71"/>
      <c r="R10" s="70"/>
    </row>
    <row r="11" spans="1:18" ht="21" x14ac:dyDescent="0.25">
      <c r="L11" s="71"/>
      <c r="M11" s="83"/>
      <c r="N11" s="83"/>
      <c r="O11" s="83"/>
      <c r="P11" s="83"/>
      <c r="Q11" s="71"/>
    </row>
    <row r="12" spans="1:18" ht="21" x14ac:dyDescent="0.3">
      <c r="B12" s="73">
        <v>2</v>
      </c>
      <c r="C12" s="72"/>
      <c r="D12" s="75" t="s">
        <v>288</v>
      </c>
      <c r="E12" s="76"/>
      <c r="F12" s="76"/>
      <c r="G12" s="76"/>
      <c r="H12" s="76"/>
      <c r="I12" s="76"/>
      <c r="J12" s="76"/>
      <c r="L12" s="71"/>
      <c r="M12" s="71"/>
      <c r="N12" s="71"/>
      <c r="O12" s="71"/>
      <c r="P12" s="71"/>
      <c r="Q12" s="71"/>
    </row>
    <row r="13" spans="1:18" ht="32.25" customHeight="1" x14ac:dyDescent="0.25">
      <c r="B13" s="74"/>
      <c r="D13" s="77" t="s">
        <v>287</v>
      </c>
      <c r="E13" s="76"/>
      <c r="F13" s="76"/>
      <c r="G13" s="76"/>
      <c r="H13" s="76"/>
      <c r="I13" s="76"/>
      <c r="J13" s="76"/>
      <c r="L13" s="78" t="e" vm="2">
        <v>#VALUE!</v>
      </c>
      <c r="M13" s="78"/>
      <c r="N13" s="78"/>
      <c r="O13" s="78"/>
      <c r="P13" s="78"/>
      <c r="Q13" s="78"/>
    </row>
    <row r="14" spans="1:18" x14ac:dyDescent="0.25">
      <c r="L14" s="78"/>
      <c r="M14" s="78"/>
      <c r="N14" s="78"/>
      <c r="O14" s="78"/>
      <c r="P14" s="78"/>
      <c r="Q14" s="78"/>
    </row>
    <row r="15" spans="1:18" ht="21" x14ac:dyDescent="0.3">
      <c r="B15" s="73">
        <v>3</v>
      </c>
      <c r="C15" s="72"/>
      <c r="D15" s="75" t="s">
        <v>290</v>
      </c>
      <c r="E15" s="76"/>
      <c r="F15" s="76"/>
      <c r="G15" s="76"/>
      <c r="H15" s="76"/>
      <c r="I15" s="76"/>
      <c r="J15" s="76"/>
      <c r="L15" s="78"/>
      <c r="M15" s="78"/>
      <c r="N15" s="78"/>
      <c r="O15" s="78"/>
      <c r="P15" s="78"/>
      <c r="Q15" s="78"/>
    </row>
    <row r="16" spans="1:18" ht="36" customHeight="1" x14ac:dyDescent="0.25">
      <c r="B16" s="74"/>
      <c r="D16" s="77" t="s">
        <v>289</v>
      </c>
      <c r="E16" s="76"/>
      <c r="F16" s="76"/>
      <c r="G16" s="76"/>
      <c r="H16" s="76"/>
      <c r="I16" s="76"/>
      <c r="J16" s="76"/>
      <c r="L16" s="78"/>
      <c r="M16" s="78"/>
      <c r="N16" s="78"/>
      <c r="O16" s="78"/>
      <c r="P16" s="78"/>
      <c r="Q16" s="78"/>
    </row>
    <row r="17" spans="2:17" x14ac:dyDescent="0.25">
      <c r="L17" s="78"/>
      <c r="M17" s="78"/>
      <c r="N17" s="78"/>
      <c r="O17" s="78"/>
      <c r="P17" s="78"/>
      <c r="Q17" s="78"/>
    </row>
    <row r="18" spans="2:17" ht="18.75" x14ac:dyDescent="0.3">
      <c r="B18" s="79" t="s">
        <v>277</v>
      </c>
      <c r="C18" s="79"/>
      <c r="D18" s="76"/>
      <c r="E18" s="76"/>
      <c r="F18" s="76"/>
      <c r="G18" s="76"/>
      <c r="H18" s="76"/>
      <c r="I18" s="76"/>
      <c r="J18" s="76"/>
      <c r="L18" s="78"/>
      <c r="M18" s="78"/>
      <c r="N18" s="78"/>
      <c r="O18" s="78"/>
      <c r="P18" s="78"/>
      <c r="Q18" s="78"/>
    </row>
    <row r="19" spans="2:17" ht="35.1" customHeight="1" x14ac:dyDescent="0.25">
      <c r="B19" s="77" t="s">
        <v>291</v>
      </c>
      <c r="C19" s="77"/>
      <c r="D19" s="76"/>
      <c r="E19" s="76"/>
      <c r="F19" s="76"/>
      <c r="G19" s="76"/>
      <c r="H19" s="76"/>
      <c r="I19" s="76"/>
      <c r="J19" s="76"/>
      <c r="L19" s="78"/>
      <c r="M19" s="78"/>
      <c r="N19" s="78"/>
      <c r="O19" s="78"/>
      <c r="P19" s="78"/>
      <c r="Q19" s="78"/>
    </row>
    <row r="20" spans="2:17" ht="39" customHeight="1" x14ac:dyDescent="0.25">
      <c r="B20" s="76"/>
      <c r="C20" s="76"/>
      <c r="D20" s="76"/>
      <c r="E20" s="76"/>
      <c r="F20" s="76"/>
      <c r="G20" s="76"/>
      <c r="H20" s="76"/>
      <c r="I20" s="76"/>
      <c r="J20" s="76"/>
    </row>
  </sheetData>
  <mergeCells count="17">
    <mergeCell ref="A1:J3"/>
    <mergeCell ref="K1:Q3"/>
    <mergeCell ref="B5:J5"/>
    <mergeCell ref="B6:J7"/>
    <mergeCell ref="M7:P11"/>
    <mergeCell ref="B9:B10"/>
    <mergeCell ref="D9:J9"/>
    <mergeCell ref="D10:J10"/>
    <mergeCell ref="B12:B13"/>
    <mergeCell ref="D12:J12"/>
    <mergeCell ref="D13:J13"/>
    <mergeCell ref="L13:Q19"/>
    <mergeCell ref="B15:B16"/>
    <mergeCell ref="D15:J15"/>
    <mergeCell ref="D16:J16"/>
    <mergeCell ref="B18:J18"/>
    <mergeCell ref="B19:J20"/>
  </mergeCells>
  <hyperlinks>
    <hyperlink ref="L13:Q19" r:id="rId1" display="https://restaurantassociation.com/unified/signup" xr:uid="{FA8FD5D9-0E46-4329-8965-EE06C6AE8857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53"/>
  <sheetViews>
    <sheetView zoomScaleNormal="100" workbookViewId="0">
      <selection activeCell="C49" sqref="C49"/>
    </sheetView>
  </sheetViews>
  <sheetFormatPr defaultColWidth="8.5703125" defaultRowHeight="15" x14ac:dyDescent="0.25"/>
  <cols>
    <col min="1" max="1" width="3.85546875" customWidth="1"/>
    <col min="2" max="2" width="38.140625" customWidth="1"/>
    <col min="3" max="3" width="53.28515625" customWidth="1"/>
    <col min="4" max="4" width="38.140625" customWidth="1"/>
  </cols>
  <sheetData>
    <row r="2" spans="2:4" ht="26.25" customHeight="1" x14ac:dyDescent="0.4">
      <c r="B2" s="63" t="s">
        <v>219</v>
      </c>
    </row>
    <row r="3" spans="2:4" ht="15.75" customHeight="1" x14ac:dyDescent="0.25">
      <c r="B3" s="64" t="s">
        <v>220</v>
      </c>
    </row>
    <row r="5" spans="2:4" ht="18.75" customHeight="1" x14ac:dyDescent="0.3">
      <c r="B5" s="65" t="s">
        <v>221</v>
      </c>
    </row>
    <row r="6" spans="2:4" ht="15" customHeight="1" x14ac:dyDescent="0.25">
      <c r="B6" t="s">
        <v>222</v>
      </c>
    </row>
    <row r="7" spans="2:4" ht="15" customHeight="1" x14ac:dyDescent="0.25">
      <c r="B7" t="s">
        <v>223</v>
      </c>
    </row>
    <row r="8" spans="2:4" ht="15" customHeight="1" x14ac:dyDescent="0.25">
      <c r="B8" t="s">
        <v>224</v>
      </c>
    </row>
    <row r="9" spans="2:4" ht="15" customHeight="1" x14ac:dyDescent="0.25">
      <c r="B9" t="s">
        <v>225</v>
      </c>
    </row>
    <row r="10" spans="2:4" ht="15" customHeight="1" x14ac:dyDescent="0.25">
      <c r="B10" t="s">
        <v>226</v>
      </c>
    </row>
    <row r="11" spans="2:4" ht="15" customHeight="1" x14ac:dyDescent="0.25">
      <c r="B11" t="s">
        <v>227</v>
      </c>
    </row>
    <row r="13" spans="2:4" ht="18.75" customHeight="1" x14ac:dyDescent="0.3">
      <c r="B13" s="65" t="s">
        <v>228</v>
      </c>
    </row>
    <row r="14" spans="2:4" ht="15" customHeight="1" x14ac:dyDescent="0.25">
      <c r="B14" s="66" t="s">
        <v>229</v>
      </c>
      <c r="C14" s="66" t="s">
        <v>230</v>
      </c>
      <c r="D14" s="66" t="s">
        <v>231</v>
      </c>
    </row>
    <row r="15" spans="2:4" ht="15" customHeight="1" x14ac:dyDescent="0.25">
      <c r="B15" t="s">
        <v>232</v>
      </c>
      <c r="C15" t="s">
        <v>233</v>
      </c>
      <c r="D15" t="s">
        <v>234</v>
      </c>
    </row>
    <row r="16" spans="2:4" ht="15" customHeight="1" x14ac:dyDescent="0.25">
      <c r="B16" t="s">
        <v>235</v>
      </c>
      <c r="C16" t="s">
        <v>236</v>
      </c>
      <c r="D16" t="s">
        <v>234</v>
      </c>
    </row>
    <row r="17" spans="2:4" ht="15" customHeight="1" x14ac:dyDescent="0.25">
      <c r="B17" t="s">
        <v>237</v>
      </c>
      <c r="C17" t="s">
        <v>238</v>
      </c>
      <c r="D17" t="s">
        <v>234</v>
      </c>
    </row>
    <row r="18" spans="2:4" ht="15" customHeight="1" x14ac:dyDescent="0.25">
      <c r="B18" t="s">
        <v>239</v>
      </c>
      <c r="C18" t="s">
        <v>240</v>
      </c>
      <c r="D18" t="s">
        <v>241</v>
      </c>
    </row>
    <row r="19" spans="2:4" ht="15" customHeight="1" x14ac:dyDescent="0.25">
      <c r="B19" t="s">
        <v>242</v>
      </c>
      <c r="C19" t="s">
        <v>243</v>
      </c>
      <c r="D19" t="s">
        <v>241</v>
      </c>
    </row>
    <row r="20" spans="2:4" ht="15" customHeight="1" x14ac:dyDescent="0.25">
      <c r="B20" t="s">
        <v>244</v>
      </c>
      <c r="C20" t="s">
        <v>245</v>
      </c>
      <c r="D20" t="s">
        <v>246</v>
      </c>
    </row>
    <row r="21" spans="2:4" ht="18.75" customHeight="1" x14ac:dyDescent="0.3">
      <c r="B21" s="65" t="s">
        <v>247</v>
      </c>
    </row>
    <row r="22" spans="2:4" ht="15" customHeight="1" x14ac:dyDescent="0.25">
      <c r="B22" s="66" t="s">
        <v>248</v>
      </c>
      <c r="C22" s="66" t="s">
        <v>249</v>
      </c>
      <c r="D22" s="66" t="s">
        <v>250</v>
      </c>
    </row>
    <row r="23" spans="2:4" ht="15" customHeight="1" x14ac:dyDescent="0.25">
      <c r="B23" t="s">
        <v>30</v>
      </c>
      <c r="C23" t="s">
        <v>251</v>
      </c>
      <c r="D23" t="s">
        <v>252</v>
      </c>
    </row>
    <row r="24" spans="2:4" ht="15" customHeight="1" x14ac:dyDescent="0.25">
      <c r="B24" t="s">
        <v>33</v>
      </c>
      <c r="C24" t="s">
        <v>253</v>
      </c>
      <c r="D24" t="s">
        <v>254</v>
      </c>
    </row>
    <row r="25" spans="2:4" ht="15" customHeight="1" x14ac:dyDescent="0.25">
      <c r="B25" t="s">
        <v>36</v>
      </c>
      <c r="C25" t="s">
        <v>255</v>
      </c>
      <c r="D25" t="s">
        <v>256</v>
      </c>
    </row>
    <row r="26" spans="2:4" ht="15" customHeight="1" x14ac:dyDescent="0.25">
      <c r="B26" t="s">
        <v>167</v>
      </c>
      <c r="C26" t="s">
        <v>257</v>
      </c>
      <c r="D26" t="s">
        <v>258</v>
      </c>
    </row>
    <row r="27" spans="2:4" ht="15" customHeight="1" x14ac:dyDescent="0.25">
      <c r="B27" t="s">
        <v>259</v>
      </c>
      <c r="C27" t="s">
        <v>260</v>
      </c>
      <c r="D27" t="s">
        <v>261</v>
      </c>
    </row>
    <row r="28" spans="2:4" ht="15" customHeight="1" x14ac:dyDescent="0.25">
      <c r="B28" t="s">
        <v>62</v>
      </c>
      <c r="C28" t="s">
        <v>262</v>
      </c>
      <c r="D28" t="s">
        <v>263</v>
      </c>
    </row>
    <row r="29" spans="2:4" ht="15" customHeight="1" x14ac:dyDescent="0.25">
      <c r="B29" t="s">
        <v>32</v>
      </c>
      <c r="C29" t="s">
        <v>264</v>
      </c>
      <c r="D29" t="s">
        <v>265</v>
      </c>
    </row>
    <row r="30" spans="2:4" ht="15" customHeight="1" x14ac:dyDescent="0.25">
      <c r="B30" t="s">
        <v>95</v>
      </c>
      <c r="C30" t="s">
        <v>266</v>
      </c>
      <c r="D30" t="s">
        <v>267</v>
      </c>
    </row>
    <row r="33" spans="2:2" ht="18.75" customHeight="1" x14ac:dyDescent="0.3">
      <c r="B33" s="65" t="s">
        <v>268</v>
      </c>
    </row>
    <row r="34" spans="2:2" ht="15" customHeight="1" x14ac:dyDescent="0.25">
      <c r="B34" t="s">
        <v>269</v>
      </c>
    </row>
    <row r="36" spans="2:2" ht="15" customHeight="1" x14ac:dyDescent="0.25">
      <c r="B36" s="67" t="s">
        <v>270</v>
      </c>
    </row>
    <row r="37" spans="2:2" ht="15" customHeight="1" x14ac:dyDescent="0.25">
      <c r="B37" s="68" t="s">
        <v>271</v>
      </c>
    </row>
    <row r="38" spans="2:2" ht="15" customHeight="1" x14ac:dyDescent="0.25">
      <c r="B38" s="69" t="s">
        <v>272</v>
      </c>
    </row>
    <row r="41" spans="2:2" ht="18.75" customHeight="1" x14ac:dyDescent="0.3">
      <c r="B41" s="65" t="s">
        <v>273</v>
      </c>
    </row>
    <row r="42" spans="2:2" ht="15" customHeight="1" x14ac:dyDescent="0.25">
      <c r="B42" t="s">
        <v>274</v>
      </c>
    </row>
    <row r="43" spans="2:2" ht="15" customHeight="1" x14ac:dyDescent="0.25">
      <c r="B43" t="s">
        <v>275</v>
      </c>
    </row>
    <row r="44" spans="2:2" ht="15" customHeight="1" x14ac:dyDescent="0.25">
      <c r="B44" t="s">
        <v>276</v>
      </c>
    </row>
    <row r="45" spans="2:2" ht="15" customHeight="1" x14ac:dyDescent="0.25">
      <c r="B45" t="s">
        <v>276</v>
      </c>
    </row>
    <row r="48" spans="2:2" ht="18.75" customHeight="1" x14ac:dyDescent="0.3">
      <c r="B48" s="65" t="s">
        <v>277</v>
      </c>
    </row>
    <row r="49" spans="2:2" ht="15" customHeight="1" x14ac:dyDescent="0.25">
      <c r="B49" t="s">
        <v>278</v>
      </c>
    </row>
    <row r="50" spans="2:2" ht="15" customHeight="1" x14ac:dyDescent="0.25">
      <c r="B50" t="s">
        <v>278</v>
      </c>
    </row>
    <row r="51" spans="2:2" ht="15" customHeight="1" x14ac:dyDescent="0.25">
      <c r="B51" t="s">
        <v>279</v>
      </c>
    </row>
    <row r="52" spans="2:2" ht="15" customHeight="1" x14ac:dyDescent="0.25">
      <c r="B52" t="s">
        <v>280</v>
      </c>
    </row>
    <row r="53" spans="2:2" ht="15" customHeight="1" x14ac:dyDescent="0.25">
      <c r="B53" t="s">
        <v>281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zoomScaleNormal="100" workbookViewId="0">
      <selection activeCell="B7" sqref="B7:B10"/>
    </sheetView>
  </sheetViews>
  <sheetFormatPr defaultColWidth="8.5703125" defaultRowHeight="15" x14ac:dyDescent="0.25"/>
  <cols>
    <col min="1" max="1" width="2.85546875" customWidth="1"/>
    <col min="2" max="2" width="26.42578125" customWidth="1"/>
    <col min="3" max="4" width="18.140625" customWidth="1"/>
    <col min="5" max="5" width="12.7109375" customWidth="1"/>
    <col min="6" max="8" width="18.140625" customWidth="1"/>
    <col min="9" max="9" width="6.7109375" customWidth="1"/>
    <col min="10" max="11" width="18.140625" customWidth="1"/>
    <col min="12" max="12" width="20.140625" customWidth="1"/>
    <col min="13" max="13" width="10.140625" customWidth="1"/>
    <col min="14" max="16" width="18.140625" customWidth="1"/>
  </cols>
  <sheetData>
    <row r="1" spans="1:18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1.5" customHeight="1" x14ac:dyDescent="0.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 t="s">
        <v>1</v>
      </c>
      <c r="O2" s="4">
        <v>46143</v>
      </c>
      <c r="P2" s="1"/>
      <c r="Q2" s="1"/>
      <c r="R2" s="1"/>
    </row>
    <row r="3" spans="1:18" ht="15.75" customHeight="1" x14ac:dyDescent="0.25">
      <c r="A3" s="1"/>
      <c r="B3" s="5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8.75" customHeight="1" x14ac:dyDescent="0.3">
      <c r="A5" s="1"/>
      <c r="B5" s="6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" customHeight="1" x14ac:dyDescent="0.25">
      <c r="A7" s="1"/>
      <c r="B7" s="7" t="s">
        <v>4</v>
      </c>
      <c r="C7" s="8"/>
      <c r="D7" s="9"/>
      <c r="E7" s="1"/>
      <c r="F7" s="7" t="s">
        <v>5</v>
      </c>
      <c r="G7" s="8"/>
      <c r="H7" s="9"/>
      <c r="I7" s="1"/>
      <c r="J7" s="7" t="s">
        <v>6</v>
      </c>
      <c r="K7" s="8"/>
      <c r="L7" s="9"/>
      <c r="M7" s="1"/>
      <c r="N7" s="7" t="s">
        <v>7</v>
      </c>
      <c r="O7" s="8"/>
      <c r="P7" s="9"/>
      <c r="Q7" s="1"/>
      <c r="R7" s="1"/>
    </row>
    <row r="8" spans="1:18" ht="28.5" customHeight="1" x14ac:dyDescent="0.45">
      <c r="A8" s="1"/>
      <c r="B8" s="10">
        <f>SUM('Daily Sales Tracker'!D6:D35)</f>
        <v>205681</v>
      </c>
      <c r="C8" s="11"/>
      <c r="D8" s="12"/>
      <c r="E8" s="1"/>
      <c r="F8" s="13">
        <f>'Food Cost Tracker'!E37</f>
        <v>0.32397022666801389</v>
      </c>
      <c r="G8" s="11"/>
      <c r="H8" s="12"/>
      <c r="I8" s="1"/>
      <c r="J8" s="13">
        <f>'Labor Cost Tracker'!E37</f>
        <v>0.28138530237429155</v>
      </c>
      <c r="K8" s="11"/>
      <c r="L8" s="12"/>
      <c r="M8" s="1"/>
      <c r="N8" s="13">
        <f>F8+J8</f>
        <v>0.60535552904230538</v>
      </c>
      <c r="O8" s="11"/>
      <c r="P8" s="12"/>
      <c r="Q8" s="1"/>
      <c r="R8" s="1"/>
    </row>
    <row r="9" spans="1:18" ht="15" customHeight="1" x14ac:dyDescent="0.25">
      <c r="A9" s="1"/>
      <c r="B9" s="14" t="s">
        <v>8</v>
      </c>
      <c r="C9" s="11"/>
      <c r="D9" s="12"/>
      <c r="E9" s="1"/>
      <c r="F9" s="14" t="s">
        <v>9</v>
      </c>
      <c r="G9" s="11"/>
      <c r="H9" s="12"/>
      <c r="I9" s="1"/>
      <c r="J9" s="14" t="s">
        <v>10</v>
      </c>
      <c r="K9" s="11"/>
      <c r="L9" s="12"/>
      <c r="M9" s="1"/>
      <c r="N9" s="14" t="s">
        <v>11</v>
      </c>
      <c r="O9" s="11"/>
      <c r="P9" s="12"/>
      <c r="Q9" s="1"/>
      <c r="R9" s="1"/>
    </row>
    <row r="10" spans="1:18" ht="15" customHeight="1" x14ac:dyDescent="0.25">
      <c r="A10" s="1"/>
      <c r="B10" s="15" t="str">
        <f>IF(B8&gt;=180000,"✓ On Track","⚠ Below Target")</f>
        <v>✓ On Track</v>
      </c>
      <c r="C10" s="16"/>
      <c r="D10" s="17"/>
      <c r="E10" s="1"/>
      <c r="F10" s="15" t="str">
        <f>IF(F8&lt;0.32,"✓ On Track",IF(F8&lt;0.35,"⚠ Monitor","✗ High"))</f>
        <v>⚠ Monitor</v>
      </c>
      <c r="G10" s="16"/>
      <c r="H10" s="17"/>
      <c r="I10" s="1"/>
      <c r="J10" s="15" t="str">
        <f>IF(J8&lt;0.3,"✓ On Track",IF(J8&lt;0.35,"⚠ Monitor","✗ High"))</f>
        <v>✓ On Track</v>
      </c>
      <c r="K10" s="16"/>
      <c r="L10" s="17"/>
      <c r="M10" s="1"/>
      <c r="N10" s="15" t="str">
        <f>IF(N8&lt;0.6,"✓ On Track",IF(N8&lt;0.65,"⚠ Monitor","✗ High"))</f>
        <v>⚠ Monitor</v>
      </c>
      <c r="O10" s="16"/>
      <c r="P10" s="17"/>
      <c r="Q10" s="1"/>
      <c r="R10" s="1"/>
    </row>
    <row r="11" spans="1:1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" customHeight="1" x14ac:dyDescent="0.25">
      <c r="A12" s="1"/>
      <c r="B12" s="7" t="s">
        <v>12</v>
      </c>
      <c r="C12" s="8"/>
      <c r="D12" s="9"/>
      <c r="E12" s="1"/>
      <c r="F12" s="7" t="s">
        <v>13</v>
      </c>
      <c r="G12" s="8"/>
      <c r="H12" s="9"/>
      <c r="I12" s="1"/>
      <c r="J12" s="7" t="s">
        <v>14</v>
      </c>
      <c r="K12" s="8"/>
      <c r="L12" s="9"/>
      <c r="M12" s="1"/>
      <c r="N12" s="7" t="s">
        <v>15</v>
      </c>
      <c r="O12" s="8"/>
      <c r="P12" s="9"/>
      <c r="Q12" s="1"/>
      <c r="R12" s="1"/>
    </row>
    <row r="13" spans="1:18" ht="28.5" customHeight="1" x14ac:dyDescent="0.45">
      <c r="A13" s="1"/>
      <c r="B13" s="13">
        <f>1-(F8+J8+0.08)</f>
        <v>0.31464447095769466</v>
      </c>
      <c r="C13" s="11"/>
      <c r="D13" s="12"/>
      <c r="E13" s="1"/>
      <c r="F13" s="10">
        <f>SUM('Daily Sales Tracker'!D6:D35)/SUM('Daily Sales Tracker'!G6:G35)</f>
        <v>44.977257817625194</v>
      </c>
      <c r="G13" s="11"/>
      <c r="H13" s="12"/>
      <c r="I13" s="1"/>
      <c r="J13" s="18">
        <f>SUM('Food Cost Tracker'!F6:F35)</f>
        <v>3790</v>
      </c>
      <c r="K13" s="11"/>
      <c r="L13" s="12"/>
      <c r="M13" s="1"/>
      <c r="N13" s="13">
        <f>'Inventory &amp; Waste Tracker'!K27</f>
        <v>0.10141093474426807</v>
      </c>
      <c r="O13" s="11"/>
      <c r="P13" s="12"/>
      <c r="Q13" s="1"/>
      <c r="R13" s="1"/>
    </row>
    <row r="14" spans="1:18" ht="15" customHeight="1" x14ac:dyDescent="0.25">
      <c r="A14" s="1"/>
      <c r="B14" s="14" t="s">
        <v>16</v>
      </c>
      <c r="C14" s="11"/>
      <c r="D14" s="12"/>
      <c r="E14" s="1"/>
      <c r="F14" s="14" t="s">
        <v>17</v>
      </c>
      <c r="G14" s="11"/>
      <c r="H14" s="12"/>
      <c r="I14" s="1"/>
      <c r="J14" s="14" t="s">
        <v>18</v>
      </c>
      <c r="K14" s="11"/>
      <c r="L14" s="12"/>
      <c r="M14" s="1"/>
      <c r="N14" s="14" t="s">
        <v>19</v>
      </c>
      <c r="O14" s="11"/>
      <c r="P14" s="12"/>
      <c r="Q14" s="1"/>
      <c r="R14" s="1"/>
    </row>
    <row r="15" spans="1:18" ht="15" customHeight="1" x14ac:dyDescent="0.25">
      <c r="A15" s="1"/>
      <c r="B15" s="15" t="str">
        <f>IF(B13&gt;=0.15,"✓ Excellent",IF(B13&gt;=0.1,"✓ Good",IF(B13&gt;=0.05,"⚠ Monitor","✗ Critical")))</f>
        <v>✓ Excellent</v>
      </c>
      <c r="C15" s="16"/>
      <c r="D15" s="17"/>
      <c r="E15" s="1"/>
      <c r="F15" s="15" t="str">
        <f>IF(F13&gt;=42,"✓ On Track","⚠ Below Target")</f>
        <v>✓ On Track</v>
      </c>
      <c r="G15" s="16"/>
      <c r="H15" s="17"/>
      <c r="I15" s="1"/>
      <c r="J15" s="15" t="str">
        <f>IF(J13&lt;=3500,"✓ On Track",IF(J13&lt;=4000,"⚠ Monitor","✗ High"))</f>
        <v>⚠ Monitor</v>
      </c>
      <c r="K15" s="16"/>
      <c r="L15" s="17"/>
      <c r="M15" s="1"/>
      <c r="N15" s="15" t="str">
        <f>IF(N13&lt;=0.02,"✓ Good",IF(N13&lt;=0.05,"⚠ Monitor","✗ High"))</f>
        <v>✗ High</v>
      </c>
      <c r="O15" s="16"/>
      <c r="P15" s="17"/>
      <c r="Q15" s="1"/>
      <c r="R15" s="1"/>
    </row>
    <row r="16" spans="1:1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8.75" customHeight="1" x14ac:dyDescent="0.3">
      <c r="A18" s="1"/>
      <c r="B18" s="6" t="s">
        <v>20</v>
      </c>
      <c r="C18" s="1"/>
      <c r="D18" s="1"/>
      <c r="E18" s="1"/>
      <c r="F18" s="1"/>
      <c r="G18" s="1"/>
      <c r="H18" s="6" t="s">
        <v>21</v>
      </c>
      <c r="I18" s="1"/>
      <c r="J18" s="1"/>
      <c r="K18" s="1"/>
      <c r="L18" s="6" t="s">
        <v>22</v>
      </c>
      <c r="M18" s="1"/>
      <c r="N18" s="1"/>
      <c r="O18" s="1"/>
      <c r="P18" s="1"/>
      <c r="Q18" s="1"/>
      <c r="R18" s="1"/>
    </row>
    <row r="19" spans="1:1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" customHeight="1" x14ac:dyDescent="0.25">
      <c r="A20" s="1"/>
      <c r="B20" s="19" t="s">
        <v>23</v>
      </c>
      <c r="C20" s="19" t="s">
        <v>24</v>
      </c>
      <c r="D20" s="19" t="s">
        <v>25</v>
      </c>
      <c r="E20" s="19" t="s">
        <v>26</v>
      </c>
      <c r="F20" s="19" t="s">
        <v>27</v>
      </c>
      <c r="G20" s="1"/>
      <c r="H20" s="19" t="s">
        <v>23</v>
      </c>
      <c r="I20" s="19" t="s">
        <v>28</v>
      </c>
      <c r="J20" s="19" t="s">
        <v>29</v>
      </c>
      <c r="K20" s="1"/>
      <c r="L20" s="19" t="s">
        <v>23</v>
      </c>
      <c r="M20" s="19" t="s">
        <v>28</v>
      </c>
      <c r="N20" s="19" t="s">
        <v>27</v>
      </c>
      <c r="O20" s="1"/>
      <c r="P20" s="1"/>
      <c r="Q20" s="1"/>
      <c r="R20" s="1"/>
    </row>
    <row r="21" spans="1:18" ht="15" customHeight="1" x14ac:dyDescent="0.25">
      <c r="A21" s="1"/>
      <c r="B21" s="20" t="s">
        <v>30</v>
      </c>
      <c r="C21" s="21">
        <f>'Food Cost Tracker'!E37</f>
        <v>0.32397022666801389</v>
      </c>
      <c r="D21" s="21">
        <v>0.3</v>
      </c>
      <c r="E21" s="21">
        <f>C21-D21</f>
        <v>2.3970226668013905E-2</v>
      </c>
      <c r="F21" s="22" t="str">
        <f>IF(C21&lt;=0.28,"✓ Good",IF(C21&lt;=0.32,"→ OK",IF(C21&lt;=0.35,"⚠ Over","✗ Critical")))</f>
        <v>⚠ Over</v>
      </c>
      <c r="G21" s="1"/>
      <c r="H21" s="20" t="s">
        <v>31</v>
      </c>
      <c r="I21" s="22">
        <f>SUM('Daily Sales Tracker'!G6:G35)</f>
        <v>4573</v>
      </c>
      <c r="J21" s="22" t="str">
        <f>IF(I21&gt;=4000,"✓ Above","⚠ Below")</f>
        <v>✓ Above</v>
      </c>
      <c r="K21" s="1"/>
      <c r="L21" s="20" t="s">
        <v>32</v>
      </c>
      <c r="M21" s="21">
        <f>'Inventory &amp; Waste Tracker'!K27</f>
        <v>0.10141093474426807</v>
      </c>
      <c r="N21" s="22" t="str">
        <f>IF(M21&lt;=0.02,"✓ Good",IF(M21&lt;=0.05,"⚠ Monitor","✗ High"))</f>
        <v>✗ High</v>
      </c>
      <c r="O21" s="1"/>
      <c r="P21" s="1"/>
      <c r="Q21" s="1"/>
      <c r="R21" s="1"/>
    </row>
    <row r="22" spans="1:18" ht="15" customHeight="1" x14ac:dyDescent="0.25">
      <c r="A22" s="1"/>
      <c r="B22" s="20" t="s">
        <v>33</v>
      </c>
      <c r="C22" s="21">
        <f>'Labor Cost Tracker'!E37</f>
        <v>0.28138530237429155</v>
      </c>
      <c r="D22" s="21">
        <v>0.28000000000000003</v>
      </c>
      <c r="E22" s="21">
        <f>C22-D22</f>
        <v>1.3853023742915194E-3</v>
      </c>
      <c r="F22" s="22" t="str">
        <f>IF(C22&lt;=0.25,"✓ Good",IF(C22&lt;=0.3,"→ OK",IF(C22&lt;=0.35,"⚠ Over","✗ Critical")))</f>
        <v>→ OK</v>
      </c>
      <c r="G22" s="1"/>
      <c r="H22" s="20" t="s">
        <v>34</v>
      </c>
      <c r="I22" s="23">
        <f>SUM('Daily Sales Tracker'!D6:D35)/SUM('Daily Sales Tracker'!G6:G35)</f>
        <v>44.977257817625194</v>
      </c>
      <c r="J22" s="22" t="str">
        <f>IF(I22&gt;=42,"→ On Track","⚠ Below")</f>
        <v>→ On Track</v>
      </c>
      <c r="K22" s="1"/>
      <c r="L22" s="20" t="s">
        <v>35</v>
      </c>
      <c r="M22" s="23">
        <f>'Inventory &amp; Waste Tracker'!M27</f>
        <v>321</v>
      </c>
      <c r="N22" s="22" t="str">
        <f>IF(M22&lt;=3500,"✓ Good","⚠ Monitor")</f>
        <v>✓ Good</v>
      </c>
      <c r="O22" s="1"/>
      <c r="P22" s="1"/>
      <c r="Q22" s="1"/>
      <c r="R22" s="1"/>
    </row>
    <row r="23" spans="1:18" ht="15" customHeight="1" x14ac:dyDescent="0.25">
      <c r="A23" s="1"/>
      <c r="B23" s="20" t="s">
        <v>36</v>
      </c>
      <c r="C23" s="21">
        <f>C21+C22</f>
        <v>0.60535552904230538</v>
      </c>
      <c r="D23" s="21">
        <v>0.62</v>
      </c>
      <c r="E23" s="21">
        <f>C23-D23</f>
        <v>-1.4644470957694611E-2</v>
      </c>
      <c r="F23" s="22" t="str">
        <f>IF(C23&lt;=0.6,"✓ Good",IF(C23&lt;=0.65,"→ OK",IF(C23&lt;=0.7,"⚠ Over","✗ Critical")))</f>
        <v>→ OK</v>
      </c>
      <c r="G23" s="1"/>
      <c r="H23" s="20" t="s">
        <v>37</v>
      </c>
      <c r="I23" s="24">
        <v>2.4</v>
      </c>
      <c r="J23" s="22" t="s">
        <v>38</v>
      </c>
      <c r="K23" s="1"/>
      <c r="L23" s="20" t="s">
        <v>39</v>
      </c>
      <c r="M23" s="22" t="s">
        <v>40</v>
      </c>
      <c r="N23" s="22" t="s">
        <v>41</v>
      </c>
      <c r="O23" s="1"/>
      <c r="P23" s="1"/>
      <c r="Q23" s="1"/>
      <c r="R23" s="1"/>
    </row>
    <row r="24" spans="1:18" ht="15" customHeight="1" x14ac:dyDescent="0.25">
      <c r="A24" s="1"/>
      <c r="B24" s="20" t="s">
        <v>42</v>
      </c>
      <c r="C24" s="25">
        <f>SUM('Food Cost Tracker'!F6:F35)</f>
        <v>3790</v>
      </c>
      <c r="D24" s="25">
        <v>3500</v>
      </c>
      <c r="E24" s="25">
        <f>C24-D24</f>
        <v>290</v>
      </c>
      <c r="F24" s="22" t="str">
        <f>IF(C24&lt;=3500,"✓ Good",IF(C24&lt;=4000,"⚠ Over","✗ Critical"))</f>
        <v>⚠ Over</v>
      </c>
      <c r="G24" s="1"/>
      <c r="H24" s="20" t="s">
        <v>43</v>
      </c>
      <c r="I24" s="22">
        <f>COUNTIF('Daily Sales Tracker'!J6:J35,"&gt;50")</f>
        <v>10</v>
      </c>
      <c r="J24" s="22" t="s">
        <v>44</v>
      </c>
      <c r="K24" s="1"/>
      <c r="L24" s="20" t="s">
        <v>45</v>
      </c>
      <c r="M24" s="22">
        <v>3</v>
      </c>
      <c r="N24" s="22" t="s">
        <v>46</v>
      </c>
      <c r="O24" s="1"/>
      <c r="P24" s="1"/>
      <c r="Q24" s="1"/>
      <c r="R24" s="1"/>
    </row>
    <row r="25" spans="1:18" ht="15" customHeight="1" x14ac:dyDescent="0.25">
      <c r="A25" s="1"/>
      <c r="B25" s="20" t="s">
        <v>47</v>
      </c>
      <c r="C25" s="25">
        <f>SUM('Food Cost Tracker'!H6:H35)</f>
        <v>51885</v>
      </c>
      <c r="D25" s="25">
        <v>52000</v>
      </c>
      <c r="E25" s="25">
        <f>C25-D25</f>
        <v>-115</v>
      </c>
      <c r="F25" s="22" t="str">
        <f>IF(C25&lt;=D25,"✓ Good","⚠ Over")</f>
        <v>✓ Good</v>
      </c>
      <c r="G25" s="1"/>
      <c r="H25" s="20" t="s">
        <v>48</v>
      </c>
      <c r="I25" s="26">
        <f>SUM('Daily Sales Tracker'!J6:J35)/SUM('Daily Sales Tracker'!D6:D35)</f>
        <v>7.1664373471540879E-3</v>
      </c>
      <c r="J25" s="22" t="str">
        <f>IF(I25&lt;=0.01,"✓ Good","⚠ Monitor")</f>
        <v>✓ Good</v>
      </c>
      <c r="K25" s="1"/>
      <c r="L25" s="20" t="s">
        <v>49</v>
      </c>
      <c r="M25" s="22">
        <v>5</v>
      </c>
      <c r="N25" s="22" t="s">
        <v>50</v>
      </c>
      <c r="O25" s="1"/>
      <c r="P25" s="1"/>
      <c r="Q25" s="1"/>
      <c r="R25" s="1"/>
    </row>
    <row r="26" spans="1:1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75" customHeight="1" x14ac:dyDescent="0.3">
      <c r="A28" s="1"/>
      <c r="B28" s="6" t="s">
        <v>51</v>
      </c>
      <c r="C28" s="1"/>
      <c r="D28" s="1"/>
      <c r="E28" s="1"/>
      <c r="F28" s="1"/>
      <c r="G28" s="1"/>
      <c r="H28" s="6" t="s">
        <v>52</v>
      </c>
      <c r="I28" s="1"/>
      <c r="J28" s="1"/>
      <c r="K28" s="1"/>
      <c r="L28" s="6" t="s">
        <v>53</v>
      </c>
      <c r="M28" s="1"/>
      <c r="N28" s="1"/>
      <c r="O28" s="1"/>
      <c r="P28" s="1"/>
      <c r="Q28" s="1"/>
      <c r="R28" s="1"/>
    </row>
    <row r="29" spans="1:1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5">
      <c r="A30" s="1"/>
      <c r="B30" s="19" t="s">
        <v>23</v>
      </c>
      <c r="C30" s="19" t="s">
        <v>28</v>
      </c>
      <c r="D30" s="19" t="s">
        <v>25</v>
      </c>
      <c r="E30" s="19" t="s">
        <v>27</v>
      </c>
      <c r="F30" s="1"/>
      <c r="G30" s="1"/>
      <c r="H30" s="27" t="s">
        <v>54</v>
      </c>
      <c r="I30" s="27" t="s">
        <v>55</v>
      </c>
      <c r="J30" s="1"/>
      <c r="K30" s="1"/>
      <c r="L30" s="19" t="s">
        <v>23</v>
      </c>
      <c r="M30" s="19" t="s">
        <v>24</v>
      </c>
      <c r="N30" s="19" t="s">
        <v>56</v>
      </c>
      <c r="O30" s="19" t="s">
        <v>57</v>
      </c>
      <c r="P30" s="1"/>
      <c r="Q30" s="1"/>
      <c r="R30" s="1"/>
    </row>
    <row r="31" spans="1:18" ht="15" customHeight="1" x14ac:dyDescent="0.25">
      <c r="A31" s="1"/>
      <c r="B31" s="20" t="s">
        <v>58</v>
      </c>
      <c r="C31" s="22">
        <f>SUM('Labor Cost Tracker'!F6:F35)</f>
        <v>1864</v>
      </c>
      <c r="D31" s="22">
        <v>1600</v>
      </c>
      <c r="E31" s="22" t="str">
        <f>IF(C31&lt;=D31,"✓ On Target","⚠ Over Hours")</f>
        <v>⚠ Over Hours</v>
      </c>
      <c r="F31" s="1"/>
      <c r="G31" s="1"/>
      <c r="H31" s="28">
        <f>'Daily Sales Tracker'!B29</f>
        <v>46165</v>
      </c>
      <c r="I31" s="29">
        <f>'Daily Sales Tracker'!D29</f>
        <v>7638</v>
      </c>
      <c r="J31" s="1"/>
      <c r="K31" s="1"/>
      <c r="L31" s="20" t="s">
        <v>59</v>
      </c>
      <c r="M31" s="25">
        <f>'Weekly Summary'!D9</f>
        <v>45444</v>
      </c>
      <c r="N31" s="25">
        <f>'Weekly Summary'!D8</f>
        <v>44788</v>
      </c>
      <c r="O31" s="21">
        <f>(M31-N31)/N31</f>
        <v>1.4646780387603822E-2</v>
      </c>
      <c r="P31" s="1"/>
      <c r="Q31" s="1"/>
      <c r="R31" s="1"/>
    </row>
    <row r="32" spans="1:18" ht="15" customHeight="1" x14ac:dyDescent="0.25">
      <c r="A32" s="1"/>
      <c r="B32" s="20" t="s">
        <v>60</v>
      </c>
      <c r="C32" s="22">
        <f>SUM('Labor Cost Tracker'!G6:G35)</f>
        <v>100</v>
      </c>
      <c r="D32" s="22">
        <v>80</v>
      </c>
      <c r="E32" s="22" t="str">
        <f>IF(C32&lt;=D32,"✓ On Target","⚠ High OT")</f>
        <v>⚠ High OT</v>
      </c>
      <c r="F32" s="1"/>
      <c r="G32" s="1"/>
      <c r="H32" s="28">
        <f>'Daily Sales Tracker'!B30</f>
        <v>46166</v>
      </c>
      <c r="I32" s="29">
        <f>'Daily Sales Tracker'!D30</f>
        <v>5768</v>
      </c>
      <c r="J32" s="1"/>
      <c r="K32" s="1"/>
      <c r="L32" s="20" t="s">
        <v>61</v>
      </c>
      <c r="M32" s="25">
        <f>SUM('Daily Sales Tracker'!D6:D35)</f>
        <v>205681</v>
      </c>
      <c r="N32" s="25">
        <f>M32*0.97</f>
        <v>199510.57</v>
      </c>
      <c r="O32" s="30">
        <f>(M32-N32)/N32</f>
        <v>3.0927835051546355E-2</v>
      </c>
      <c r="P32" s="1"/>
      <c r="Q32" s="1"/>
      <c r="R32" s="1"/>
    </row>
    <row r="33" spans="1:18" ht="15" customHeight="1" x14ac:dyDescent="0.25">
      <c r="A33" s="1"/>
      <c r="B33" s="20" t="s">
        <v>62</v>
      </c>
      <c r="C33" s="23">
        <f>SUM('Labor Cost Tracker'!C6:C35)/SUM('Labor Cost Tracker'!F6:F35)</f>
        <v>110.64967811158799</v>
      </c>
      <c r="D33" s="23">
        <v>45</v>
      </c>
      <c r="E33" s="22" t="str">
        <f>IF(C33&gt;=D33,"✓ Excellent","⚠ Below Target")</f>
        <v>✓ Excellent</v>
      </c>
      <c r="F33" s="1"/>
      <c r="G33" s="1"/>
      <c r="H33" s="28">
        <f>'Daily Sales Tracker'!B31</f>
        <v>46167</v>
      </c>
      <c r="I33" s="29">
        <f>'Daily Sales Tracker'!D31</f>
        <v>6320</v>
      </c>
      <c r="J33" s="1"/>
      <c r="K33" s="1"/>
      <c r="L33" s="20" t="s">
        <v>63</v>
      </c>
      <c r="M33" s="25">
        <f>'Monthly Summary'!C19</f>
        <v>939681</v>
      </c>
      <c r="N33" s="25">
        <f>M33*0.92</f>
        <v>864506.52</v>
      </c>
      <c r="O33" s="30">
        <f>(M33-N33)/N33</f>
        <v>8.6956521739130405E-2</v>
      </c>
      <c r="P33" s="1"/>
      <c r="Q33" s="1"/>
      <c r="R33" s="1"/>
    </row>
    <row r="34" spans="1:18" ht="15" customHeight="1" x14ac:dyDescent="0.25">
      <c r="A34" s="1"/>
      <c r="B34" s="20" t="s">
        <v>64</v>
      </c>
      <c r="C34" s="31">
        <v>0.35</v>
      </c>
      <c r="D34" s="22" t="s">
        <v>65</v>
      </c>
      <c r="E34" s="22" t="str">
        <f>IF(C34&lt;=0.3,"✓ Good",IF(C34&lt;=0.5,"⚠ Monitor","✗ Critical"))</f>
        <v>⚠ Monitor</v>
      </c>
      <c r="F34" s="1"/>
      <c r="G34" s="1"/>
      <c r="H34" s="28">
        <f>'Daily Sales Tracker'!B32</f>
        <v>46168</v>
      </c>
      <c r="I34" s="29">
        <f>'Daily Sales Tracker'!D32</f>
        <v>5244</v>
      </c>
      <c r="J34" s="1"/>
      <c r="K34" s="1"/>
      <c r="L34" s="20" t="s">
        <v>66</v>
      </c>
      <c r="M34" s="23">
        <f>F13</f>
        <v>44.977257817625194</v>
      </c>
      <c r="N34" s="23">
        <v>41.5</v>
      </c>
      <c r="O34" s="30">
        <f>(M34-N34)/N34</f>
        <v>8.3789345003016727E-2</v>
      </c>
      <c r="P34" s="1"/>
      <c r="Q34" s="1"/>
      <c r="R34" s="1"/>
    </row>
    <row r="35" spans="1:18" ht="15" customHeight="1" x14ac:dyDescent="0.25">
      <c r="A35" s="1"/>
      <c r="B35" s="1"/>
      <c r="C35" s="1"/>
      <c r="D35" s="1"/>
      <c r="E35" s="1"/>
      <c r="F35" s="1"/>
      <c r="G35" s="1"/>
      <c r="H35" s="28">
        <f>'Daily Sales Tracker'!B33</f>
        <v>46169</v>
      </c>
      <c r="I35" s="29">
        <f>'Daily Sales Tracker'!D33</f>
        <v>4795</v>
      </c>
      <c r="J35" s="1"/>
      <c r="K35" s="1"/>
      <c r="L35" s="1"/>
      <c r="M35" s="1"/>
      <c r="N35" s="1"/>
      <c r="O35" s="1"/>
      <c r="P35" s="1"/>
      <c r="Q35" s="1"/>
      <c r="R35" s="1"/>
    </row>
    <row r="36" spans="1:18" ht="15" customHeight="1" x14ac:dyDescent="0.25">
      <c r="A36" s="1"/>
      <c r="B36" s="1"/>
      <c r="C36" s="1"/>
      <c r="D36" s="1"/>
      <c r="E36" s="1"/>
      <c r="F36" s="1"/>
      <c r="G36" s="1"/>
      <c r="H36" s="28">
        <f>'Daily Sales Tracker'!B34</f>
        <v>46170</v>
      </c>
      <c r="I36" s="29">
        <f>'Daily Sales Tracker'!D34</f>
        <v>8626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 ht="15" customHeight="1" x14ac:dyDescent="0.25">
      <c r="A37" s="1"/>
      <c r="B37" s="1"/>
      <c r="C37" s="1"/>
      <c r="D37" s="1"/>
      <c r="E37" s="1"/>
      <c r="F37" s="1"/>
      <c r="G37" s="1"/>
      <c r="H37" s="28">
        <f>'Daily Sales Tracker'!B35</f>
        <v>46171</v>
      </c>
      <c r="I37" s="29">
        <f>'Daily Sales Tracker'!D35</f>
        <v>8490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ht="18.75" customHeight="1" x14ac:dyDescent="0.3">
      <c r="A38" s="1"/>
      <c r="B38" s="6" t="s">
        <v>67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" customHeight="1" x14ac:dyDescent="0.25">
      <c r="A40" s="1"/>
      <c r="B40" s="27" t="s">
        <v>68</v>
      </c>
      <c r="C40" s="27" t="s">
        <v>69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" customHeight="1" x14ac:dyDescent="0.25">
      <c r="A41" s="1"/>
      <c r="B41" s="32" t="s">
        <v>70</v>
      </c>
      <c r="C41" s="29">
        <f>SUM('Food Cost Tracker'!D6:D35)</f>
        <v>48095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" customHeight="1" x14ac:dyDescent="0.25">
      <c r="A42" s="1"/>
      <c r="B42" s="32" t="s">
        <v>71</v>
      </c>
      <c r="C42" s="29">
        <f>SUM('Labor Cost Tracker'!D6:D35)</f>
        <v>58036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" customHeight="1" x14ac:dyDescent="0.25">
      <c r="A43" s="1"/>
      <c r="B43" s="32" t="s">
        <v>42</v>
      </c>
      <c r="C43" s="29">
        <f>SUM('Food Cost Tracker'!F6:F35)</f>
        <v>3790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" customHeight="1" x14ac:dyDescent="0.25">
      <c r="A44" s="1"/>
      <c r="B44" s="32" t="s">
        <v>72</v>
      </c>
      <c r="C44" s="29">
        <f>ROUND('Daily Sales Tracker'!D36*0.08,0)</f>
        <v>16454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5" customHeight="1" x14ac:dyDescent="0.25">
      <c r="A50" s="1"/>
      <c r="B50" s="33" t="s">
        <v>73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</sheetData>
  <autoFilter ref="B7:B10" xr:uid="{00000000-0001-0000-0000-000000000000}"/>
  <conditionalFormatting sqref="B10">
    <cfRule type="containsText" dxfId="83" priority="2" operator="containsText" text="On Track">
      <formula>NOT(ISERROR(SEARCH("On Track",B10)))</formula>
    </cfRule>
    <cfRule type="containsText" dxfId="82" priority="3" operator="containsText" text="Warning">
      <formula>NOT(ISERROR(SEARCH("Warning",B10)))</formula>
    </cfRule>
    <cfRule type="containsText" dxfId="81" priority="4" operator="containsText" text="Below">
      <formula>NOT(ISERROR(SEARCH("Below",B10)))</formula>
    </cfRule>
    <cfRule type="containsText" dxfId="80" priority="5" operator="containsText" text="✓">
      <formula>NOT(ISERROR(SEARCH("✓",B10)))</formula>
    </cfRule>
    <cfRule type="containsText" dxfId="79" priority="6" operator="containsText" text="⚠">
      <formula>NOT(ISERROR(SEARCH("⚠",B10)))</formula>
    </cfRule>
    <cfRule type="containsText" dxfId="78" priority="7" operator="containsText" text="✗">
      <formula>NOT(ISERROR(SEARCH("✗",B10)))</formula>
    </cfRule>
  </conditionalFormatting>
  <conditionalFormatting sqref="B15">
    <cfRule type="containsText" dxfId="77" priority="44" operator="containsText" text="✗">
      <formula>NOT(ISERROR(SEARCH("✗",B15)))</formula>
    </cfRule>
    <cfRule type="containsText" dxfId="76" priority="43" operator="containsText" text="⚠">
      <formula>NOT(ISERROR(SEARCH("⚠",B15)))</formula>
    </cfRule>
    <cfRule type="containsText" dxfId="75" priority="42" operator="containsText" text="✓">
      <formula>NOT(ISERROR(SEARCH("✓",B15)))</formula>
    </cfRule>
  </conditionalFormatting>
  <conditionalFormatting sqref="E31:E34">
    <cfRule type="containsText" dxfId="74" priority="31" operator="containsText" text="High">
      <formula>NOT(ISERROR(SEARCH("High",E31)))</formula>
    </cfRule>
    <cfRule type="containsText" dxfId="73" priority="30" operator="containsText" text="Over">
      <formula>NOT(ISERROR(SEARCH("Over",E31)))</formula>
    </cfRule>
    <cfRule type="containsText" dxfId="72" priority="26" operator="containsText" text="Excellent">
      <formula>NOT(ISERROR(SEARCH("Excellent",E31)))</formula>
    </cfRule>
    <cfRule type="containsText" dxfId="71" priority="27" operator="containsText" text="Good">
      <formula>NOT(ISERROR(SEARCH("Good",E31)))</formula>
    </cfRule>
    <cfRule type="containsText" dxfId="70" priority="28" operator="containsText" text="Budget">
      <formula>NOT(ISERROR(SEARCH("Budget",E31)))</formula>
    </cfRule>
    <cfRule type="containsText" dxfId="69" priority="32" operator="containsText" text="Low">
      <formula>NOT(ISERROR(SEARCH("Low",E31)))</formula>
    </cfRule>
    <cfRule type="containsText" dxfId="68" priority="29" operator="containsText" text="Monitor">
      <formula>NOT(ISERROR(SEARCH("Monitor",E31)))</formula>
    </cfRule>
  </conditionalFormatting>
  <conditionalFormatting sqref="F10">
    <cfRule type="containsText" dxfId="67" priority="35" operator="containsText" text="✗">
      <formula>NOT(ISERROR(SEARCH("✗",F10)))</formula>
    </cfRule>
    <cfRule type="containsText" dxfId="66" priority="34" operator="containsText" text="⚠">
      <formula>NOT(ISERROR(SEARCH("⚠",F10)))</formula>
    </cfRule>
    <cfRule type="containsText" dxfId="65" priority="33" operator="containsText" text="✓">
      <formula>NOT(ISERROR(SEARCH("✓",F10)))</formula>
    </cfRule>
  </conditionalFormatting>
  <conditionalFormatting sqref="F15">
    <cfRule type="containsText" dxfId="64" priority="47" operator="containsText" text="✗">
      <formula>NOT(ISERROR(SEARCH("✗",F15)))</formula>
    </cfRule>
    <cfRule type="containsText" dxfId="63" priority="46" operator="containsText" text="⚠">
      <formula>NOT(ISERROR(SEARCH("⚠",F15)))</formula>
    </cfRule>
    <cfRule type="containsText" dxfId="62" priority="45" operator="containsText" text="✓">
      <formula>NOT(ISERROR(SEARCH("✓",F15)))</formula>
    </cfRule>
  </conditionalFormatting>
  <conditionalFormatting sqref="F21:F25">
    <cfRule type="containsText" dxfId="61" priority="9" operator="containsText" text="Over">
      <formula>NOT(ISERROR(SEARCH("Over",F21)))</formula>
    </cfRule>
    <cfRule type="containsText" dxfId="60" priority="8" operator="containsText" text="Good">
      <formula>NOT(ISERROR(SEARCH("Good",F21)))</formula>
    </cfRule>
  </conditionalFormatting>
  <conditionalFormatting sqref="J10">
    <cfRule type="containsText" dxfId="59" priority="36" operator="containsText" text="✓">
      <formula>NOT(ISERROR(SEARCH("✓",J10)))</formula>
    </cfRule>
    <cfRule type="containsText" dxfId="58" priority="37" operator="containsText" text="⚠">
      <formula>NOT(ISERROR(SEARCH("⚠",J10)))</formula>
    </cfRule>
    <cfRule type="containsText" dxfId="57" priority="38" operator="containsText" text="✗">
      <formula>NOT(ISERROR(SEARCH("✗",J10)))</formula>
    </cfRule>
  </conditionalFormatting>
  <conditionalFormatting sqref="J15">
    <cfRule type="containsText" dxfId="56" priority="48" operator="containsText" text="✓">
      <formula>NOT(ISERROR(SEARCH("✓",J15)))</formula>
    </cfRule>
    <cfRule type="containsText" dxfId="55" priority="49" operator="containsText" text="⚠">
      <formula>NOT(ISERROR(SEARCH("⚠",J15)))</formula>
    </cfRule>
    <cfRule type="containsText" dxfId="54" priority="50" operator="containsText" text="✗">
      <formula>NOT(ISERROR(SEARCH("✗",J15)))</formula>
    </cfRule>
  </conditionalFormatting>
  <conditionalFormatting sqref="J21:J25">
    <cfRule type="containsText" dxfId="53" priority="10" operator="containsText" text="Above">
      <formula>NOT(ISERROR(SEARCH("Above",J21)))</formula>
    </cfRule>
    <cfRule type="containsText" dxfId="52" priority="11" operator="containsText" text="Excellent">
      <formula>NOT(ISERROR(SEARCH("Excellent",J21)))</formula>
    </cfRule>
    <cfRule type="containsText" dxfId="51" priority="12" operator="containsText" text="Good">
      <formula>NOT(ISERROR(SEARCH("Good",J21)))</formula>
    </cfRule>
    <cfRule type="containsText" dxfId="50" priority="13" operator="containsText" text="Low">
      <formula>NOT(ISERROR(SEARCH("Low",J21)))</formula>
    </cfRule>
    <cfRule type="containsText" dxfId="49" priority="17" operator="containsText" text="High">
      <formula>NOT(ISERROR(SEARCH("High",J21)))</formula>
    </cfRule>
    <cfRule type="containsText" dxfId="48" priority="16" operator="containsText" text="Below">
      <formula>NOT(ISERROR(SEARCH("Below",J21)))</formula>
    </cfRule>
    <cfRule type="containsText" dxfId="47" priority="15" operator="containsText" text="Monitor">
      <formula>NOT(ISERROR(SEARCH("Monitor",J21)))</formula>
    </cfRule>
    <cfRule type="containsText" dxfId="46" priority="14" operator="containsText" text="On Track">
      <formula>NOT(ISERROR(SEARCH("On Track",J21)))</formula>
    </cfRule>
  </conditionalFormatting>
  <conditionalFormatting sqref="N10">
    <cfRule type="containsText" dxfId="45" priority="39" operator="containsText" text="✓">
      <formula>NOT(ISERROR(SEARCH("✓",N10)))</formula>
    </cfRule>
    <cfRule type="containsText" dxfId="44" priority="40" operator="containsText" text="⚠">
      <formula>NOT(ISERROR(SEARCH("⚠",N10)))</formula>
    </cfRule>
    <cfRule type="containsText" dxfId="43" priority="41" operator="containsText" text="✗">
      <formula>NOT(ISERROR(SEARCH("✗",N10)))</formula>
    </cfRule>
  </conditionalFormatting>
  <conditionalFormatting sqref="N15">
    <cfRule type="containsText" dxfId="42" priority="51" operator="containsText" text="✓">
      <formula>NOT(ISERROR(SEARCH("✓",N15)))</formula>
    </cfRule>
    <cfRule type="containsText" dxfId="41" priority="52" operator="containsText" text="⚠">
      <formula>NOT(ISERROR(SEARCH("⚠",N15)))</formula>
    </cfRule>
    <cfRule type="containsText" dxfId="40" priority="53" operator="containsText" text="✗">
      <formula>NOT(ISERROR(SEARCH("✗",N15)))</formula>
    </cfRule>
  </conditionalFormatting>
  <conditionalFormatting sqref="N21:N25">
    <cfRule type="containsText" dxfId="39" priority="25" operator="containsText" text="Reorder">
      <formula>NOT(ISERROR(SEARCH("Reorder",N21)))</formula>
    </cfRule>
    <cfRule type="containsText" dxfId="38" priority="24" operator="containsText" text="Action">
      <formula>NOT(ISERROR(SEARCH("Action",N21)))</formula>
    </cfRule>
    <cfRule type="containsText" dxfId="37" priority="22" operator="containsText" text="Soon">
      <formula>NOT(ISERROR(SEARCH("Soon",N21)))</formula>
    </cfRule>
    <cfRule type="containsText" dxfId="36" priority="21" operator="containsText" text="Check">
      <formula>NOT(ISERROR(SEARCH("Check",N21)))</formula>
    </cfRule>
    <cfRule type="containsText" dxfId="35" priority="20" operator="containsText" text="Monitor">
      <formula>NOT(ISERROR(SEARCH("Monitor",N21)))</formula>
    </cfRule>
    <cfRule type="containsText" dxfId="34" priority="23" operator="containsText" text="High">
      <formula>NOT(ISERROR(SEARCH("High",N21)))</formula>
    </cfRule>
    <cfRule type="containsText" dxfId="33" priority="19" operator="containsText" text="Low">
      <formula>NOT(ISERROR(SEARCH("Low",N21)))</formula>
    </cfRule>
    <cfRule type="containsText" dxfId="32" priority="18" operator="containsText" text="Good">
      <formula>NOT(ISERROR(SEARCH("Good",N21)))</formula>
    </cfRule>
  </conditionalFormatting>
  <conditionalFormatting sqref="O31:O34">
    <cfRule type="cellIs" dxfId="31" priority="54" operator="greaterThan">
      <formula>0</formula>
    </cfRule>
    <cfRule type="cellIs" dxfId="30" priority="55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8"/>
  <sheetViews>
    <sheetView zoomScaleNormal="100" workbookViewId="0">
      <pane ySplit="5" topLeftCell="A18" activePane="bottomLeft" state="frozen"/>
      <selection pane="bottomLeft" activeCell="L22" sqref="L22"/>
    </sheetView>
  </sheetViews>
  <sheetFormatPr defaultColWidth="8.5703125" defaultRowHeight="15" x14ac:dyDescent="0.25"/>
  <cols>
    <col min="1" max="1" width="3.85546875" customWidth="1"/>
    <col min="2" max="2" width="23.5703125" customWidth="1"/>
    <col min="3" max="15" width="16.140625" customWidth="1"/>
    <col min="26" max="26" width="21" customWidth="1"/>
  </cols>
  <sheetData>
    <row r="2" spans="2:15" ht="24" customHeight="1" x14ac:dyDescent="0.4">
      <c r="B2" s="34" t="s">
        <v>74</v>
      </c>
    </row>
    <row r="3" spans="2:15" ht="15" customHeight="1" x14ac:dyDescent="0.25">
      <c r="B3" s="35" t="s">
        <v>75</v>
      </c>
    </row>
    <row r="5" spans="2:15" ht="27.75" customHeight="1" x14ac:dyDescent="0.25">
      <c r="B5" s="36" t="s">
        <v>54</v>
      </c>
      <c r="C5" s="36" t="s">
        <v>76</v>
      </c>
      <c r="D5" s="36" t="s">
        <v>77</v>
      </c>
      <c r="E5" s="36" t="s">
        <v>78</v>
      </c>
      <c r="F5" s="36" t="s">
        <v>79</v>
      </c>
      <c r="G5" s="36" t="s">
        <v>80</v>
      </c>
      <c r="H5" s="36" t="s">
        <v>66</v>
      </c>
      <c r="I5" s="36" t="s">
        <v>81</v>
      </c>
      <c r="J5" s="36" t="s">
        <v>82</v>
      </c>
      <c r="K5" s="36" t="s">
        <v>71</v>
      </c>
      <c r="L5" s="36" t="s">
        <v>70</v>
      </c>
      <c r="M5" s="36" t="s">
        <v>83</v>
      </c>
      <c r="N5" s="36" t="s">
        <v>36</v>
      </c>
      <c r="O5" s="36" t="s">
        <v>84</v>
      </c>
    </row>
    <row r="6" spans="2:15" ht="15" customHeight="1" x14ac:dyDescent="0.25">
      <c r="B6" s="37">
        <v>46142</v>
      </c>
      <c r="C6" s="38" t="s">
        <v>85</v>
      </c>
      <c r="D6" s="39">
        <v>9151</v>
      </c>
      <c r="E6" s="39">
        <v>6589</v>
      </c>
      <c r="F6" s="39">
        <v>2562</v>
      </c>
      <c r="G6" s="38">
        <v>203</v>
      </c>
      <c r="H6" s="40">
        <f t="shared" ref="H6:H36" si="0">D6/G6</f>
        <v>45.078817733990149</v>
      </c>
      <c r="I6" s="39">
        <v>264</v>
      </c>
      <c r="J6" s="39">
        <v>57</v>
      </c>
      <c r="K6" s="39">
        <v>2480</v>
      </c>
      <c r="L6" s="39">
        <v>1967</v>
      </c>
      <c r="M6" s="39">
        <f t="shared" ref="M6:M35" si="1">K6+L6</f>
        <v>4447</v>
      </c>
      <c r="N6" s="41">
        <f t="shared" ref="N6:N36" si="2">M6/D6</f>
        <v>0.48595781881761557</v>
      </c>
      <c r="O6" s="41"/>
    </row>
    <row r="7" spans="2:15" ht="15" customHeight="1" x14ac:dyDescent="0.25">
      <c r="B7" s="37">
        <v>46143</v>
      </c>
      <c r="C7" s="38" t="s">
        <v>86</v>
      </c>
      <c r="D7" s="39">
        <v>8933</v>
      </c>
      <c r="E7" s="39">
        <v>6432</v>
      </c>
      <c r="F7" s="39">
        <v>2501</v>
      </c>
      <c r="G7" s="38">
        <v>199</v>
      </c>
      <c r="H7" s="40">
        <f t="shared" si="0"/>
        <v>44.889447236180906</v>
      </c>
      <c r="I7" s="39">
        <v>291</v>
      </c>
      <c r="J7" s="39">
        <v>45</v>
      </c>
      <c r="K7" s="39">
        <v>2846</v>
      </c>
      <c r="L7" s="39">
        <v>2116</v>
      </c>
      <c r="M7" s="39">
        <f t="shared" si="1"/>
        <v>4962</v>
      </c>
      <c r="N7" s="41">
        <f t="shared" si="2"/>
        <v>0.55546848763013545</v>
      </c>
      <c r="O7" s="41">
        <f t="shared" ref="O7:O35" si="3">(D7-D6)/D6</f>
        <v>-2.3822533056496557E-2</v>
      </c>
    </row>
    <row r="8" spans="2:15" ht="15" customHeight="1" x14ac:dyDescent="0.25">
      <c r="B8" s="37">
        <v>46144</v>
      </c>
      <c r="C8" s="38" t="s">
        <v>87</v>
      </c>
      <c r="D8" s="39">
        <v>9095</v>
      </c>
      <c r="E8" s="39">
        <v>6548</v>
      </c>
      <c r="F8" s="39">
        <v>2547</v>
      </c>
      <c r="G8" s="38">
        <v>202</v>
      </c>
      <c r="H8" s="40">
        <f t="shared" si="0"/>
        <v>45.024752475247524</v>
      </c>
      <c r="I8" s="39">
        <v>224</v>
      </c>
      <c r="J8" s="39">
        <v>79</v>
      </c>
      <c r="K8" s="39">
        <v>2758</v>
      </c>
      <c r="L8" s="39">
        <v>2011</v>
      </c>
      <c r="M8" s="39">
        <f t="shared" si="1"/>
        <v>4769</v>
      </c>
      <c r="N8" s="41">
        <f t="shared" si="2"/>
        <v>0.52435404068169322</v>
      </c>
      <c r="O8" s="41">
        <f t="shared" si="3"/>
        <v>1.81350050375014E-2</v>
      </c>
    </row>
    <row r="9" spans="2:15" ht="15" customHeight="1" x14ac:dyDescent="0.25">
      <c r="B9" s="37">
        <v>46145</v>
      </c>
      <c r="C9" s="38" t="s">
        <v>88</v>
      </c>
      <c r="D9" s="39">
        <v>6327</v>
      </c>
      <c r="E9" s="39">
        <v>4555</v>
      </c>
      <c r="F9" s="39">
        <v>1772</v>
      </c>
      <c r="G9" s="38">
        <v>141</v>
      </c>
      <c r="H9" s="40">
        <f t="shared" si="0"/>
        <v>44.872340425531917</v>
      </c>
      <c r="I9" s="39">
        <v>145</v>
      </c>
      <c r="J9" s="39">
        <v>38</v>
      </c>
      <c r="K9" s="39">
        <v>1706</v>
      </c>
      <c r="L9" s="39">
        <v>1488</v>
      </c>
      <c r="M9" s="39">
        <f t="shared" si="1"/>
        <v>3194</v>
      </c>
      <c r="N9" s="41">
        <f t="shared" si="2"/>
        <v>0.504820610083768</v>
      </c>
      <c r="O9" s="41">
        <f t="shared" si="3"/>
        <v>-0.30434304562946674</v>
      </c>
    </row>
    <row r="10" spans="2:15" ht="15" customHeight="1" x14ac:dyDescent="0.25">
      <c r="B10" s="37">
        <v>46146</v>
      </c>
      <c r="C10" s="38" t="s">
        <v>89</v>
      </c>
      <c r="D10" s="39">
        <v>6322</v>
      </c>
      <c r="E10" s="39">
        <v>4552</v>
      </c>
      <c r="F10" s="39">
        <v>1770</v>
      </c>
      <c r="G10" s="38">
        <v>140</v>
      </c>
      <c r="H10" s="40">
        <f t="shared" si="0"/>
        <v>45.157142857142858</v>
      </c>
      <c r="I10" s="39">
        <v>247</v>
      </c>
      <c r="J10" s="39">
        <v>59</v>
      </c>
      <c r="K10" s="39">
        <v>1991</v>
      </c>
      <c r="L10" s="39">
        <v>1392</v>
      </c>
      <c r="M10" s="39">
        <f t="shared" si="1"/>
        <v>3383</v>
      </c>
      <c r="N10" s="41">
        <f t="shared" si="2"/>
        <v>0.53511546978804181</v>
      </c>
      <c r="O10" s="41">
        <f t="shared" si="3"/>
        <v>-7.9026394815868495E-4</v>
      </c>
    </row>
    <row r="11" spans="2:15" ht="15" customHeight="1" x14ac:dyDescent="0.25">
      <c r="B11" s="37">
        <v>46147</v>
      </c>
      <c r="C11" s="38" t="s">
        <v>90</v>
      </c>
      <c r="D11" s="39">
        <v>5822</v>
      </c>
      <c r="E11" s="39">
        <v>4192</v>
      </c>
      <c r="F11" s="39">
        <v>1630</v>
      </c>
      <c r="G11" s="38">
        <v>129</v>
      </c>
      <c r="H11" s="40">
        <f t="shared" si="0"/>
        <v>45.131782945736433</v>
      </c>
      <c r="I11" s="39">
        <v>169</v>
      </c>
      <c r="J11" s="39">
        <v>31</v>
      </c>
      <c r="K11" s="39">
        <v>1519</v>
      </c>
      <c r="L11" s="39">
        <v>1414</v>
      </c>
      <c r="M11" s="39">
        <f t="shared" si="1"/>
        <v>2933</v>
      </c>
      <c r="N11" s="41">
        <f t="shared" si="2"/>
        <v>0.50377877018206807</v>
      </c>
      <c r="O11" s="41">
        <f t="shared" si="3"/>
        <v>-7.9088895919012969E-2</v>
      </c>
    </row>
    <row r="12" spans="2:15" ht="15" customHeight="1" x14ac:dyDescent="0.25">
      <c r="B12" s="37">
        <v>46148</v>
      </c>
      <c r="C12" s="38" t="s">
        <v>91</v>
      </c>
      <c r="D12" s="39">
        <v>4726</v>
      </c>
      <c r="E12" s="39">
        <v>3403</v>
      </c>
      <c r="F12" s="39">
        <v>1323</v>
      </c>
      <c r="G12" s="38">
        <v>105</v>
      </c>
      <c r="H12" s="40">
        <f t="shared" si="0"/>
        <v>45.009523809523813</v>
      </c>
      <c r="I12" s="39">
        <v>186</v>
      </c>
      <c r="J12" s="39">
        <v>27</v>
      </c>
      <c r="K12" s="39">
        <v>1449</v>
      </c>
      <c r="L12" s="39">
        <v>1066</v>
      </c>
      <c r="M12" s="39">
        <f t="shared" si="1"/>
        <v>2515</v>
      </c>
      <c r="N12" s="41">
        <f t="shared" si="2"/>
        <v>0.53216250528988573</v>
      </c>
      <c r="O12" s="41">
        <f t="shared" si="3"/>
        <v>-0.18825145997938852</v>
      </c>
    </row>
    <row r="13" spans="2:15" ht="15" customHeight="1" x14ac:dyDescent="0.25">
      <c r="B13" s="37">
        <v>46149</v>
      </c>
      <c r="C13" s="38" t="s">
        <v>85</v>
      </c>
      <c r="D13" s="39">
        <v>9436</v>
      </c>
      <c r="E13" s="39">
        <v>6794</v>
      </c>
      <c r="F13" s="39">
        <v>2642</v>
      </c>
      <c r="G13" s="38">
        <v>210</v>
      </c>
      <c r="H13" s="40">
        <f t="shared" si="0"/>
        <v>44.93333333333333</v>
      </c>
      <c r="I13" s="39">
        <v>250</v>
      </c>
      <c r="J13" s="39">
        <v>86</v>
      </c>
      <c r="K13" s="39">
        <v>2628</v>
      </c>
      <c r="L13" s="39">
        <v>2077</v>
      </c>
      <c r="M13" s="39">
        <f t="shared" si="1"/>
        <v>4705</v>
      </c>
      <c r="N13" s="41">
        <f t="shared" si="2"/>
        <v>0.4986222975837219</v>
      </c>
      <c r="O13" s="41">
        <f t="shared" si="3"/>
        <v>0.9966144731273805</v>
      </c>
    </row>
    <row r="14" spans="2:15" ht="15" customHeight="1" x14ac:dyDescent="0.25">
      <c r="B14" s="37">
        <v>46150</v>
      </c>
      <c r="C14" s="38" t="s">
        <v>86</v>
      </c>
      <c r="D14" s="39">
        <v>7914</v>
      </c>
      <c r="E14" s="39">
        <v>5698</v>
      </c>
      <c r="F14" s="39">
        <v>2216</v>
      </c>
      <c r="G14" s="38">
        <v>176</v>
      </c>
      <c r="H14" s="40">
        <f t="shared" si="0"/>
        <v>44.965909090909093</v>
      </c>
      <c r="I14" s="39">
        <v>215</v>
      </c>
      <c r="J14" s="39">
        <v>66</v>
      </c>
      <c r="K14" s="39">
        <v>2493</v>
      </c>
      <c r="L14" s="39">
        <v>1638</v>
      </c>
      <c r="M14" s="39">
        <f t="shared" si="1"/>
        <v>4131</v>
      </c>
      <c r="N14" s="41">
        <f t="shared" si="2"/>
        <v>0.52198635329795295</v>
      </c>
      <c r="O14" s="41">
        <f t="shared" si="3"/>
        <v>-0.16129715981348028</v>
      </c>
    </row>
    <row r="15" spans="2:15" ht="15" customHeight="1" x14ac:dyDescent="0.25">
      <c r="B15" s="37">
        <v>46151</v>
      </c>
      <c r="C15" s="38" t="s">
        <v>87</v>
      </c>
      <c r="D15" s="39">
        <v>8438</v>
      </c>
      <c r="E15" s="39">
        <v>6075</v>
      </c>
      <c r="F15" s="39">
        <v>2363</v>
      </c>
      <c r="G15" s="38">
        <v>188</v>
      </c>
      <c r="H15" s="40">
        <f t="shared" si="0"/>
        <v>44.882978723404257</v>
      </c>
      <c r="I15" s="39">
        <v>337</v>
      </c>
      <c r="J15" s="39">
        <v>43</v>
      </c>
      <c r="K15" s="39">
        <v>2463</v>
      </c>
      <c r="L15" s="39">
        <v>1853</v>
      </c>
      <c r="M15" s="39">
        <f t="shared" si="1"/>
        <v>4316</v>
      </c>
      <c r="N15" s="41">
        <f t="shared" si="2"/>
        <v>0.51149561507466224</v>
      </c>
      <c r="O15" s="41">
        <f t="shared" si="3"/>
        <v>6.621177659843315E-2</v>
      </c>
    </row>
    <row r="16" spans="2:15" ht="15" customHeight="1" x14ac:dyDescent="0.25">
      <c r="B16" s="37">
        <v>46152</v>
      </c>
      <c r="C16" s="38" t="s">
        <v>88</v>
      </c>
      <c r="D16" s="39">
        <v>5466</v>
      </c>
      <c r="E16" s="39">
        <v>3936</v>
      </c>
      <c r="F16" s="39">
        <v>1530</v>
      </c>
      <c r="G16" s="38">
        <v>121</v>
      </c>
      <c r="H16" s="40">
        <f t="shared" si="0"/>
        <v>45.173553719008261</v>
      </c>
      <c r="I16" s="39">
        <v>192</v>
      </c>
      <c r="J16" s="39">
        <v>29</v>
      </c>
      <c r="K16" s="39">
        <v>1540</v>
      </c>
      <c r="L16" s="39">
        <v>1224</v>
      </c>
      <c r="M16" s="39">
        <f t="shared" si="1"/>
        <v>2764</v>
      </c>
      <c r="N16" s="41">
        <f t="shared" si="2"/>
        <v>0.50567142334431026</v>
      </c>
      <c r="O16" s="41">
        <f t="shared" si="3"/>
        <v>-0.3522161649680019</v>
      </c>
    </row>
    <row r="17" spans="2:15" ht="15" customHeight="1" x14ac:dyDescent="0.25">
      <c r="B17" s="37">
        <v>46153</v>
      </c>
      <c r="C17" s="38" t="s">
        <v>89</v>
      </c>
      <c r="D17" s="39">
        <v>5188</v>
      </c>
      <c r="E17" s="39">
        <v>3735</v>
      </c>
      <c r="F17" s="39">
        <v>1453</v>
      </c>
      <c r="G17" s="38">
        <v>115</v>
      </c>
      <c r="H17" s="40">
        <f t="shared" si="0"/>
        <v>45.11304347826087</v>
      </c>
      <c r="I17" s="39">
        <v>139</v>
      </c>
      <c r="J17" s="39">
        <v>28</v>
      </c>
      <c r="K17" s="39">
        <v>1387</v>
      </c>
      <c r="L17" s="39">
        <v>1235</v>
      </c>
      <c r="M17" s="39">
        <f t="shared" si="1"/>
        <v>2622</v>
      </c>
      <c r="N17" s="41">
        <f t="shared" si="2"/>
        <v>0.50539707016191215</v>
      </c>
      <c r="O17" s="41">
        <f t="shared" si="3"/>
        <v>-5.0859860958653497E-2</v>
      </c>
    </row>
    <row r="18" spans="2:15" ht="15" customHeight="1" x14ac:dyDescent="0.25">
      <c r="B18" s="37">
        <v>46154</v>
      </c>
      <c r="C18" s="38" t="s">
        <v>90</v>
      </c>
      <c r="D18" s="39">
        <v>5437</v>
      </c>
      <c r="E18" s="39">
        <v>3915</v>
      </c>
      <c r="F18" s="39">
        <v>1522</v>
      </c>
      <c r="G18" s="38">
        <v>121</v>
      </c>
      <c r="H18" s="40">
        <f t="shared" si="0"/>
        <v>44.933884297520663</v>
      </c>
      <c r="I18" s="39">
        <v>194</v>
      </c>
      <c r="J18" s="39">
        <v>49</v>
      </c>
      <c r="K18" s="39">
        <v>1449</v>
      </c>
      <c r="L18" s="39">
        <v>1162</v>
      </c>
      <c r="M18" s="39">
        <f t="shared" si="1"/>
        <v>2611</v>
      </c>
      <c r="N18" s="41">
        <f t="shared" si="2"/>
        <v>0.48022806694868492</v>
      </c>
      <c r="O18" s="41">
        <f t="shared" si="3"/>
        <v>4.7995373939861218E-2</v>
      </c>
    </row>
    <row r="19" spans="2:15" ht="15" customHeight="1" x14ac:dyDescent="0.25">
      <c r="B19" s="37">
        <v>46155</v>
      </c>
      <c r="C19" s="38" t="s">
        <v>91</v>
      </c>
      <c r="D19" s="39">
        <v>6078</v>
      </c>
      <c r="E19" s="39">
        <v>4376</v>
      </c>
      <c r="F19" s="39">
        <v>1702</v>
      </c>
      <c r="G19" s="38">
        <v>135</v>
      </c>
      <c r="H19" s="40">
        <f t="shared" si="0"/>
        <v>45.022222222222226</v>
      </c>
      <c r="I19" s="39">
        <v>231</v>
      </c>
      <c r="J19" s="39">
        <v>33</v>
      </c>
      <c r="K19" s="39">
        <v>1626</v>
      </c>
      <c r="L19" s="39">
        <v>1334</v>
      </c>
      <c r="M19" s="39">
        <f t="shared" si="1"/>
        <v>2960</v>
      </c>
      <c r="N19" s="41">
        <f t="shared" si="2"/>
        <v>0.48700230338927281</v>
      </c>
      <c r="O19" s="41">
        <f t="shared" si="3"/>
        <v>0.11789589847342284</v>
      </c>
    </row>
    <row r="20" spans="2:15" ht="15" customHeight="1" x14ac:dyDescent="0.25">
      <c r="B20" s="37">
        <v>46156</v>
      </c>
      <c r="C20" s="38" t="s">
        <v>85</v>
      </c>
      <c r="D20" s="39">
        <v>7795</v>
      </c>
      <c r="E20" s="39">
        <v>5612</v>
      </c>
      <c r="F20" s="39">
        <v>2183</v>
      </c>
      <c r="G20" s="38">
        <v>173</v>
      </c>
      <c r="H20" s="40">
        <f t="shared" si="0"/>
        <v>45.057803468208093</v>
      </c>
      <c r="I20" s="39">
        <v>241</v>
      </c>
      <c r="J20" s="39">
        <v>40</v>
      </c>
      <c r="K20" s="39">
        <v>2383</v>
      </c>
      <c r="L20" s="39">
        <v>1770</v>
      </c>
      <c r="M20" s="39">
        <f t="shared" si="1"/>
        <v>4153</v>
      </c>
      <c r="N20" s="41">
        <f t="shared" si="2"/>
        <v>0.53277742142398976</v>
      </c>
      <c r="O20" s="41">
        <f t="shared" si="3"/>
        <v>0.28249424152681801</v>
      </c>
    </row>
    <row r="21" spans="2:15" ht="15" customHeight="1" x14ac:dyDescent="0.25">
      <c r="B21" s="37">
        <v>46157</v>
      </c>
      <c r="C21" s="38" t="s">
        <v>86</v>
      </c>
      <c r="D21" s="39">
        <v>8621</v>
      </c>
      <c r="E21" s="39">
        <v>6207</v>
      </c>
      <c r="F21" s="39">
        <v>2414</v>
      </c>
      <c r="G21" s="38">
        <v>192</v>
      </c>
      <c r="H21" s="40">
        <f t="shared" si="0"/>
        <v>44.901041666666664</v>
      </c>
      <c r="I21" s="39">
        <v>281</v>
      </c>
      <c r="J21" s="39">
        <v>86</v>
      </c>
      <c r="K21" s="39">
        <v>2526</v>
      </c>
      <c r="L21" s="39">
        <v>2017</v>
      </c>
      <c r="M21" s="39">
        <f t="shared" si="1"/>
        <v>4543</v>
      </c>
      <c r="N21" s="41">
        <f t="shared" si="2"/>
        <v>0.52696902911495191</v>
      </c>
      <c r="O21" s="41">
        <f t="shared" si="3"/>
        <v>0.10596536241180243</v>
      </c>
    </row>
    <row r="22" spans="2:15" ht="15" customHeight="1" x14ac:dyDescent="0.25">
      <c r="B22" s="37">
        <v>46158</v>
      </c>
      <c r="C22" s="38" t="s">
        <v>87</v>
      </c>
      <c r="D22" s="39">
        <v>8098</v>
      </c>
      <c r="E22" s="39">
        <v>5831</v>
      </c>
      <c r="F22" s="39">
        <v>2267</v>
      </c>
      <c r="G22" s="38">
        <v>180</v>
      </c>
      <c r="H22" s="40">
        <f t="shared" si="0"/>
        <v>44.988888888888887</v>
      </c>
      <c r="I22" s="39">
        <v>209</v>
      </c>
      <c r="J22" s="39">
        <v>55</v>
      </c>
      <c r="K22" s="39">
        <v>2237</v>
      </c>
      <c r="L22" s="39">
        <v>1649</v>
      </c>
      <c r="M22" s="39">
        <f t="shared" si="1"/>
        <v>3886</v>
      </c>
      <c r="N22" s="41">
        <f t="shared" si="2"/>
        <v>0.47987157322795754</v>
      </c>
      <c r="O22" s="41">
        <f t="shared" si="3"/>
        <v>-6.0665816030622897E-2</v>
      </c>
    </row>
    <row r="23" spans="2:15" ht="15" customHeight="1" x14ac:dyDescent="0.25">
      <c r="B23" s="37">
        <v>46159</v>
      </c>
      <c r="C23" s="38" t="s">
        <v>88</v>
      </c>
      <c r="D23" s="39">
        <v>5061</v>
      </c>
      <c r="E23" s="39">
        <v>3644</v>
      </c>
      <c r="F23" s="39">
        <v>1417</v>
      </c>
      <c r="G23" s="38">
        <v>112</v>
      </c>
      <c r="H23" s="40">
        <f t="shared" si="0"/>
        <v>45.1875</v>
      </c>
      <c r="I23" s="39">
        <v>189</v>
      </c>
      <c r="J23" s="39">
        <v>40</v>
      </c>
      <c r="K23" s="39">
        <v>1338</v>
      </c>
      <c r="L23" s="39">
        <v>1201</v>
      </c>
      <c r="M23" s="39">
        <f t="shared" si="1"/>
        <v>2539</v>
      </c>
      <c r="N23" s="41">
        <f t="shared" si="2"/>
        <v>0.50167950997826516</v>
      </c>
      <c r="O23" s="41">
        <f t="shared" si="3"/>
        <v>-0.3750308718202025</v>
      </c>
    </row>
    <row r="24" spans="2:15" ht="15" customHeight="1" x14ac:dyDescent="0.25">
      <c r="B24" s="37">
        <v>46160</v>
      </c>
      <c r="C24" s="38" t="s">
        <v>89</v>
      </c>
      <c r="D24" s="39">
        <v>5379</v>
      </c>
      <c r="E24" s="39">
        <v>3873</v>
      </c>
      <c r="F24" s="39">
        <v>1506</v>
      </c>
      <c r="G24" s="38">
        <v>120</v>
      </c>
      <c r="H24" s="40">
        <f t="shared" si="0"/>
        <v>44.825000000000003</v>
      </c>
      <c r="I24" s="39">
        <v>114</v>
      </c>
      <c r="J24" s="39">
        <v>50</v>
      </c>
      <c r="K24" s="39">
        <v>1413</v>
      </c>
      <c r="L24" s="39">
        <v>1188</v>
      </c>
      <c r="M24" s="39">
        <f t="shared" si="1"/>
        <v>2601</v>
      </c>
      <c r="N24" s="41">
        <f t="shared" si="2"/>
        <v>0.48354712771890684</v>
      </c>
      <c r="O24" s="41">
        <f t="shared" si="3"/>
        <v>6.2833432128037936E-2</v>
      </c>
    </row>
    <row r="25" spans="2:15" ht="15" customHeight="1" x14ac:dyDescent="0.25">
      <c r="B25" s="37">
        <v>46161</v>
      </c>
      <c r="C25" s="38" t="s">
        <v>90</v>
      </c>
      <c r="D25" s="39">
        <v>4893</v>
      </c>
      <c r="E25" s="39">
        <v>3523</v>
      </c>
      <c r="F25" s="39">
        <v>1370</v>
      </c>
      <c r="G25" s="38">
        <v>109</v>
      </c>
      <c r="H25" s="40">
        <f t="shared" si="0"/>
        <v>44.889908256880737</v>
      </c>
      <c r="I25" s="39">
        <v>98</v>
      </c>
      <c r="J25" s="39">
        <v>31</v>
      </c>
      <c r="K25" s="39">
        <v>1280</v>
      </c>
      <c r="L25" s="39">
        <v>1103</v>
      </c>
      <c r="M25" s="39">
        <f t="shared" si="1"/>
        <v>2383</v>
      </c>
      <c r="N25" s="41">
        <f t="shared" si="2"/>
        <v>0.48702227672184756</v>
      </c>
      <c r="O25" s="41">
        <f t="shared" si="3"/>
        <v>-9.0351366424986063E-2</v>
      </c>
    </row>
    <row r="26" spans="2:15" ht="15" customHeight="1" x14ac:dyDescent="0.25">
      <c r="B26" s="37">
        <v>46162</v>
      </c>
      <c r="C26" s="38" t="s">
        <v>91</v>
      </c>
      <c r="D26" s="39">
        <v>4941</v>
      </c>
      <c r="E26" s="39">
        <v>3558</v>
      </c>
      <c r="F26" s="39">
        <v>1383</v>
      </c>
      <c r="G26" s="38">
        <v>110</v>
      </c>
      <c r="H26" s="40">
        <f t="shared" si="0"/>
        <v>44.918181818181822</v>
      </c>
      <c r="I26" s="39">
        <v>174</v>
      </c>
      <c r="J26" s="39">
        <v>43</v>
      </c>
      <c r="K26" s="39">
        <v>1396</v>
      </c>
      <c r="L26" s="39">
        <v>1099</v>
      </c>
      <c r="M26" s="39">
        <f t="shared" si="1"/>
        <v>2495</v>
      </c>
      <c r="N26" s="41">
        <f t="shared" si="2"/>
        <v>0.50495851042299134</v>
      </c>
      <c r="O26" s="41">
        <f t="shared" si="3"/>
        <v>9.8099325567136721E-3</v>
      </c>
    </row>
    <row r="27" spans="2:15" ht="15" customHeight="1" x14ac:dyDescent="0.25">
      <c r="B27" s="37">
        <v>46163</v>
      </c>
      <c r="C27" s="38" t="s">
        <v>85</v>
      </c>
      <c r="D27" s="39">
        <v>8173</v>
      </c>
      <c r="E27" s="39">
        <v>5885</v>
      </c>
      <c r="F27" s="39">
        <v>2288</v>
      </c>
      <c r="G27" s="38">
        <v>182</v>
      </c>
      <c r="H27" s="40">
        <f t="shared" si="0"/>
        <v>44.906593406593409</v>
      </c>
      <c r="I27" s="39">
        <v>237</v>
      </c>
      <c r="J27" s="39">
        <v>62</v>
      </c>
      <c r="K27" s="39">
        <v>2253</v>
      </c>
      <c r="L27" s="39">
        <v>1991</v>
      </c>
      <c r="M27" s="39">
        <f t="shared" si="1"/>
        <v>4244</v>
      </c>
      <c r="N27" s="41">
        <f t="shared" si="2"/>
        <v>0.51927076960724339</v>
      </c>
      <c r="O27" s="41">
        <f t="shared" si="3"/>
        <v>0.6541185994737907</v>
      </c>
    </row>
    <row r="28" spans="2:15" ht="15" customHeight="1" x14ac:dyDescent="0.25">
      <c r="B28" s="37">
        <v>46164</v>
      </c>
      <c r="C28" s="38" t="s">
        <v>86</v>
      </c>
      <c r="D28" s="39">
        <v>7506</v>
      </c>
      <c r="E28" s="39">
        <v>5404</v>
      </c>
      <c r="F28" s="39">
        <v>2102</v>
      </c>
      <c r="G28" s="38">
        <v>167</v>
      </c>
      <c r="H28" s="40">
        <f t="shared" si="0"/>
        <v>44.946107784431135</v>
      </c>
      <c r="I28" s="39">
        <v>160</v>
      </c>
      <c r="J28" s="39">
        <v>41</v>
      </c>
      <c r="K28" s="39">
        <v>2169</v>
      </c>
      <c r="L28" s="39">
        <v>1647</v>
      </c>
      <c r="M28" s="39">
        <f t="shared" si="1"/>
        <v>3816</v>
      </c>
      <c r="N28" s="41">
        <f t="shared" si="2"/>
        <v>0.50839328537170259</v>
      </c>
      <c r="O28" s="41">
        <f t="shared" si="3"/>
        <v>-8.161017986051633E-2</v>
      </c>
    </row>
    <row r="29" spans="2:15" ht="15" customHeight="1" x14ac:dyDescent="0.25">
      <c r="B29" s="37">
        <v>46165</v>
      </c>
      <c r="C29" s="38" t="s">
        <v>87</v>
      </c>
      <c r="D29" s="39">
        <v>7638</v>
      </c>
      <c r="E29" s="39">
        <v>5499</v>
      </c>
      <c r="F29" s="39">
        <v>2139</v>
      </c>
      <c r="G29" s="38">
        <v>170</v>
      </c>
      <c r="H29" s="40">
        <f t="shared" si="0"/>
        <v>44.929411764705883</v>
      </c>
      <c r="I29" s="39">
        <v>192</v>
      </c>
      <c r="J29" s="39">
        <v>41</v>
      </c>
      <c r="K29" s="39">
        <v>2211</v>
      </c>
      <c r="L29" s="39">
        <v>1738</v>
      </c>
      <c r="M29" s="39">
        <f t="shared" si="1"/>
        <v>3949</v>
      </c>
      <c r="N29" s="41">
        <f t="shared" si="2"/>
        <v>0.51702016234616388</v>
      </c>
      <c r="O29" s="41">
        <f t="shared" si="3"/>
        <v>1.7585931254996003E-2</v>
      </c>
    </row>
    <row r="30" spans="2:15" ht="15" customHeight="1" x14ac:dyDescent="0.25">
      <c r="B30" s="37">
        <v>46166</v>
      </c>
      <c r="C30" s="38" t="s">
        <v>88</v>
      </c>
      <c r="D30" s="39">
        <v>5768</v>
      </c>
      <c r="E30" s="39">
        <v>4153</v>
      </c>
      <c r="F30" s="39">
        <v>1615</v>
      </c>
      <c r="G30" s="38">
        <v>128</v>
      </c>
      <c r="H30" s="40">
        <f t="shared" si="0"/>
        <v>45.0625</v>
      </c>
      <c r="I30" s="39">
        <v>199</v>
      </c>
      <c r="J30" s="39">
        <v>46</v>
      </c>
      <c r="K30" s="39">
        <v>1619</v>
      </c>
      <c r="L30" s="39">
        <v>1185</v>
      </c>
      <c r="M30" s="39">
        <f t="shared" si="1"/>
        <v>2804</v>
      </c>
      <c r="N30" s="41">
        <f t="shared" si="2"/>
        <v>0.48613037447988905</v>
      </c>
      <c r="O30" s="41">
        <f t="shared" si="3"/>
        <v>-0.24482848913328095</v>
      </c>
    </row>
    <row r="31" spans="2:15" ht="15" customHeight="1" x14ac:dyDescent="0.25">
      <c r="B31" s="37">
        <v>46167</v>
      </c>
      <c r="C31" s="38" t="s">
        <v>89</v>
      </c>
      <c r="D31" s="39">
        <v>6320</v>
      </c>
      <c r="E31" s="39">
        <v>4550</v>
      </c>
      <c r="F31" s="39">
        <v>1770</v>
      </c>
      <c r="G31" s="38">
        <v>140</v>
      </c>
      <c r="H31" s="40">
        <f t="shared" si="0"/>
        <v>45.142857142857146</v>
      </c>
      <c r="I31" s="39">
        <v>225</v>
      </c>
      <c r="J31" s="39">
        <v>47</v>
      </c>
      <c r="K31" s="39">
        <v>1988</v>
      </c>
      <c r="L31" s="39">
        <v>1398</v>
      </c>
      <c r="M31" s="39">
        <f t="shared" si="1"/>
        <v>3386</v>
      </c>
      <c r="N31" s="41">
        <f t="shared" si="2"/>
        <v>0.53575949367088604</v>
      </c>
      <c r="O31" s="41">
        <f t="shared" si="3"/>
        <v>9.5700416088765602E-2</v>
      </c>
    </row>
    <row r="32" spans="2:15" ht="15" customHeight="1" x14ac:dyDescent="0.25">
      <c r="B32" s="37">
        <v>46168</v>
      </c>
      <c r="C32" s="38" t="s">
        <v>90</v>
      </c>
      <c r="D32" s="39">
        <v>5244</v>
      </c>
      <c r="E32" s="39">
        <v>3776</v>
      </c>
      <c r="F32" s="39">
        <v>1468</v>
      </c>
      <c r="G32" s="38">
        <v>117</v>
      </c>
      <c r="H32" s="40">
        <f t="shared" si="0"/>
        <v>44.820512820512818</v>
      </c>
      <c r="I32" s="39">
        <v>172</v>
      </c>
      <c r="J32" s="39">
        <v>30</v>
      </c>
      <c r="K32" s="39">
        <v>1546</v>
      </c>
      <c r="L32" s="39">
        <v>1088</v>
      </c>
      <c r="M32" s="39">
        <f t="shared" si="1"/>
        <v>2634</v>
      </c>
      <c r="N32" s="41">
        <f t="shared" si="2"/>
        <v>0.50228832951945079</v>
      </c>
      <c r="O32" s="41">
        <f t="shared" si="3"/>
        <v>-0.17025316455696202</v>
      </c>
    </row>
    <row r="33" spans="2:15" ht="15" customHeight="1" x14ac:dyDescent="0.25">
      <c r="B33" s="37">
        <v>46169</v>
      </c>
      <c r="C33" s="38" t="s">
        <v>91</v>
      </c>
      <c r="D33" s="39">
        <v>4795</v>
      </c>
      <c r="E33" s="39">
        <v>3452</v>
      </c>
      <c r="F33" s="39">
        <v>1343</v>
      </c>
      <c r="G33" s="38">
        <v>107</v>
      </c>
      <c r="H33" s="40">
        <f t="shared" si="0"/>
        <v>44.813084112149532</v>
      </c>
      <c r="I33" s="39">
        <v>158</v>
      </c>
      <c r="J33" s="39">
        <v>47</v>
      </c>
      <c r="K33" s="39">
        <v>1478</v>
      </c>
      <c r="L33" s="39">
        <v>1089</v>
      </c>
      <c r="M33" s="39">
        <f t="shared" si="1"/>
        <v>2567</v>
      </c>
      <c r="N33" s="41">
        <f t="shared" si="2"/>
        <v>0.53534932221063602</v>
      </c>
      <c r="O33" s="41">
        <f t="shared" si="3"/>
        <v>-8.5621662852784136E-2</v>
      </c>
    </row>
    <row r="34" spans="2:15" ht="15" customHeight="1" x14ac:dyDescent="0.25">
      <c r="B34" s="37">
        <v>46170</v>
      </c>
      <c r="C34" s="38" t="s">
        <v>85</v>
      </c>
      <c r="D34" s="39">
        <v>8626</v>
      </c>
      <c r="E34" s="39">
        <v>6211</v>
      </c>
      <c r="F34" s="39">
        <v>2415</v>
      </c>
      <c r="G34" s="38">
        <v>192</v>
      </c>
      <c r="H34" s="40">
        <f t="shared" si="0"/>
        <v>44.927083333333336</v>
      </c>
      <c r="I34" s="39">
        <v>333</v>
      </c>
      <c r="J34" s="39">
        <v>68</v>
      </c>
      <c r="K34" s="39">
        <v>2716</v>
      </c>
      <c r="L34" s="39">
        <v>2036</v>
      </c>
      <c r="M34" s="39">
        <f t="shared" si="1"/>
        <v>4752</v>
      </c>
      <c r="N34" s="41">
        <f t="shared" si="2"/>
        <v>0.55089265012752142</v>
      </c>
      <c r="O34" s="41">
        <f t="shared" si="3"/>
        <v>0.79895724713242966</v>
      </c>
    </row>
    <row r="35" spans="2:15" ht="15" customHeight="1" x14ac:dyDescent="0.25">
      <c r="B35" s="37">
        <v>46171</v>
      </c>
      <c r="C35" s="38" t="s">
        <v>86</v>
      </c>
      <c r="D35" s="39">
        <v>8490</v>
      </c>
      <c r="E35" s="39">
        <v>6113</v>
      </c>
      <c r="F35" s="39">
        <v>2377</v>
      </c>
      <c r="G35" s="38">
        <v>189</v>
      </c>
      <c r="H35" s="40">
        <f t="shared" si="0"/>
        <v>44.920634920634917</v>
      </c>
      <c r="I35" s="39">
        <v>176</v>
      </c>
      <c r="J35" s="39">
        <v>77</v>
      </c>
      <c r="K35" s="39">
        <v>2509</v>
      </c>
      <c r="L35" s="39">
        <v>1892</v>
      </c>
      <c r="M35" s="39">
        <f t="shared" si="1"/>
        <v>4401</v>
      </c>
      <c r="N35" s="41">
        <f t="shared" si="2"/>
        <v>0.5183745583038869</v>
      </c>
      <c r="O35" s="41">
        <f t="shared" si="3"/>
        <v>-1.5766287966612568E-2</v>
      </c>
    </row>
    <row r="36" spans="2:15" ht="15" customHeight="1" x14ac:dyDescent="0.25">
      <c r="B36" s="42" t="s">
        <v>92</v>
      </c>
      <c r="C36" s="38"/>
      <c r="D36" s="39">
        <f>SUM(D6:D35)</f>
        <v>205681</v>
      </c>
      <c r="E36" s="39">
        <f>SUM(E6:E35)</f>
        <v>148091</v>
      </c>
      <c r="F36" s="39">
        <f>SUM(F6:F35)</f>
        <v>57590</v>
      </c>
      <c r="G36" s="38">
        <f>SUM(G6:G35)</f>
        <v>4573</v>
      </c>
      <c r="H36" s="40">
        <f t="shared" si="0"/>
        <v>44.977257817625194</v>
      </c>
      <c r="I36" s="39">
        <f>SUM(I6:I35)</f>
        <v>6242</v>
      </c>
      <c r="J36" s="39">
        <f>SUM(J6:J35)</f>
        <v>1474</v>
      </c>
      <c r="K36" s="39">
        <f>SUM(K6:K35)</f>
        <v>59397</v>
      </c>
      <c r="L36" s="39">
        <f>SUM(L6:L35)</f>
        <v>46068</v>
      </c>
      <c r="M36" s="39">
        <f>SUM(M6:M35)</f>
        <v>105465</v>
      </c>
      <c r="N36" s="41">
        <f t="shared" si="2"/>
        <v>0.51276005075821296</v>
      </c>
      <c r="O36" s="43">
        <f>AVERAGE(O7:O35)</f>
        <v>3.4121395407976776E-2</v>
      </c>
    </row>
    <row r="37" spans="2:15" ht="15" customHeight="1" x14ac:dyDescent="0.25">
      <c r="B37" s="44"/>
      <c r="C37" s="27"/>
      <c r="D37" s="45">
        <v>205681</v>
      </c>
      <c r="E37" s="45">
        <v>148091</v>
      </c>
      <c r="F37" s="45">
        <v>57590</v>
      </c>
      <c r="G37" s="27">
        <v>4573</v>
      </c>
      <c r="H37" s="46">
        <v>44.980861391068601</v>
      </c>
      <c r="I37" s="45">
        <v>6242</v>
      </c>
      <c r="J37" s="45">
        <v>1474</v>
      </c>
      <c r="K37" s="45">
        <v>59397</v>
      </c>
      <c r="L37" s="45">
        <v>46068</v>
      </c>
      <c r="M37" s="45">
        <v>105465</v>
      </c>
      <c r="N37" s="47">
        <v>0.51276005075821296</v>
      </c>
      <c r="O37" s="47">
        <v>3.4121395407976797E-2</v>
      </c>
    </row>
    <row r="38" spans="2:15" ht="15" customHeight="1" x14ac:dyDescent="0.25">
      <c r="B38" s="48"/>
      <c r="C38" s="49"/>
      <c r="D38" s="50">
        <v>6856.0333333333301</v>
      </c>
      <c r="E38" s="50">
        <v>4936.3666666666704</v>
      </c>
      <c r="F38" s="50">
        <v>1919.6666666666699</v>
      </c>
      <c r="G38" s="49">
        <v>152.433333333333</v>
      </c>
      <c r="H38" s="51">
        <v>44.980861391068601</v>
      </c>
      <c r="I38" s="50">
        <v>208.066666666667</v>
      </c>
      <c r="J38" s="50">
        <v>49.133333333333297</v>
      </c>
      <c r="K38" s="50">
        <v>1979.9</v>
      </c>
      <c r="L38" s="50">
        <v>1535.6</v>
      </c>
      <c r="M38" s="50">
        <v>3515.5</v>
      </c>
      <c r="N38" s="52">
        <v>0.51141217421733398</v>
      </c>
      <c r="O38" s="52">
        <v>3.4121395407976797E-2</v>
      </c>
    </row>
  </sheetData>
  <autoFilter ref="B5:O35" xr:uid="{00000000-0009-0000-0000-000001000000}"/>
  <conditionalFormatting sqref="N6:N35">
    <cfRule type="cellIs" dxfId="29" priority="2" operator="lessThan">
      <formula>0.6</formula>
    </cfRule>
    <cfRule type="cellIs" dxfId="28" priority="3" operator="between">
      <formula>0.6</formula>
      <formula>0.7</formula>
    </cfRule>
    <cfRule type="cellIs" dxfId="27" priority="4" operator="greaterThan">
      <formula>0.7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7"/>
  <sheetViews>
    <sheetView zoomScaleNormal="100" workbookViewId="0">
      <pane ySplit="5" topLeftCell="A6" activePane="bottomLeft" state="frozen"/>
      <selection pane="bottomLeft" activeCell="E17" sqref="E17"/>
    </sheetView>
  </sheetViews>
  <sheetFormatPr defaultColWidth="8.5703125" defaultRowHeight="15" x14ac:dyDescent="0.25"/>
  <cols>
    <col min="1" max="1" width="3.85546875" customWidth="1"/>
    <col min="2" max="2" width="25.5703125" customWidth="1"/>
    <col min="3" max="8" width="19" customWidth="1"/>
  </cols>
  <sheetData>
    <row r="2" spans="2:8" ht="24" customHeight="1" x14ac:dyDescent="0.4">
      <c r="B2" s="34" t="s">
        <v>93</v>
      </c>
    </row>
    <row r="3" spans="2:8" ht="15" customHeight="1" x14ac:dyDescent="0.25">
      <c r="B3" s="35" t="s">
        <v>94</v>
      </c>
    </row>
    <row r="5" spans="2:8" ht="27.75" customHeight="1" x14ac:dyDescent="0.25">
      <c r="B5" s="19" t="s">
        <v>54</v>
      </c>
      <c r="C5" s="19" t="s">
        <v>78</v>
      </c>
      <c r="D5" s="19" t="s">
        <v>70</v>
      </c>
      <c r="E5" s="19" t="s">
        <v>30</v>
      </c>
      <c r="F5" s="19" t="s">
        <v>42</v>
      </c>
      <c r="G5" s="19" t="s">
        <v>95</v>
      </c>
      <c r="H5" s="19" t="s">
        <v>47</v>
      </c>
    </row>
    <row r="6" spans="2:8" ht="15" customHeight="1" x14ac:dyDescent="0.25">
      <c r="B6" s="37">
        <v>46142</v>
      </c>
      <c r="C6" s="39">
        <v>6388</v>
      </c>
      <c r="D6" s="39">
        <v>1810</v>
      </c>
      <c r="E6" s="41">
        <f t="shared" ref="E6:E35" si="0">IFERROR(D6/C6,0)</f>
        <v>0.28334376956793988</v>
      </c>
      <c r="F6" s="39">
        <v>192</v>
      </c>
      <c r="G6" s="41">
        <f t="shared" ref="G6:G35" si="1">IFERROR(F6/C6,0)</f>
        <v>3.0056355666875392E-2</v>
      </c>
      <c r="H6" s="39">
        <f t="shared" ref="H6:H35" si="2">D6+F6</f>
        <v>2002</v>
      </c>
    </row>
    <row r="7" spans="2:8" ht="15" customHeight="1" x14ac:dyDescent="0.25">
      <c r="B7" s="37">
        <v>46143</v>
      </c>
      <c r="C7" s="39">
        <v>5916</v>
      </c>
      <c r="D7" s="39">
        <v>1694</v>
      </c>
      <c r="E7" s="41">
        <f t="shared" si="0"/>
        <v>0.286342123056119</v>
      </c>
      <c r="F7" s="39">
        <v>204</v>
      </c>
      <c r="G7" s="41">
        <f t="shared" si="1"/>
        <v>3.4482758620689655E-2</v>
      </c>
      <c r="H7" s="39">
        <f t="shared" si="2"/>
        <v>1898</v>
      </c>
    </row>
    <row r="8" spans="2:8" ht="15" customHeight="1" x14ac:dyDescent="0.25">
      <c r="B8" s="37">
        <v>46144</v>
      </c>
      <c r="C8" s="39">
        <v>6399</v>
      </c>
      <c r="D8" s="39">
        <v>2199</v>
      </c>
      <c r="E8" s="41">
        <f t="shared" si="0"/>
        <v>0.34364744491326771</v>
      </c>
      <c r="F8" s="39">
        <v>137</v>
      </c>
      <c r="G8" s="41">
        <f t="shared" si="1"/>
        <v>2.1409595249257698E-2</v>
      </c>
      <c r="H8" s="39">
        <f t="shared" si="2"/>
        <v>2336</v>
      </c>
    </row>
    <row r="9" spans="2:8" ht="15" customHeight="1" x14ac:dyDescent="0.25">
      <c r="B9" s="37">
        <v>46145</v>
      </c>
      <c r="C9" s="39">
        <v>3476</v>
      </c>
      <c r="D9" s="39">
        <v>1039</v>
      </c>
      <c r="E9" s="41">
        <f t="shared" si="0"/>
        <v>0.29890678941311855</v>
      </c>
      <c r="F9" s="39">
        <v>65</v>
      </c>
      <c r="G9" s="41">
        <f t="shared" si="1"/>
        <v>1.8699654775604143E-2</v>
      </c>
      <c r="H9" s="39">
        <f t="shared" si="2"/>
        <v>1104</v>
      </c>
    </row>
    <row r="10" spans="2:8" ht="15" customHeight="1" x14ac:dyDescent="0.25">
      <c r="B10" s="37">
        <v>46146</v>
      </c>
      <c r="C10" s="39">
        <v>4333</v>
      </c>
      <c r="D10" s="39">
        <v>1409</v>
      </c>
      <c r="E10" s="41">
        <f t="shared" si="0"/>
        <v>0.32517885991230094</v>
      </c>
      <c r="F10" s="39">
        <v>137</v>
      </c>
      <c r="G10" s="41">
        <f t="shared" si="1"/>
        <v>3.161781675513501E-2</v>
      </c>
      <c r="H10" s="39">
        <f t="shared" si="2"/>
        <v>1546</v>
      </c>
    </row>
    <row r="11" spans="2:8" ht="15" customHeight="1" x14ac:dyDescent="0.25">
      <c r="B11" s="37">
        <v>46147</v>
      </c>
      <c r="C11" s="39">
        <v>3637</v>
      </c>
      <c r="D11" s="39">
        <v>1271</v>
      </c>
      <c r="E11" s="41">
        <f t="shared" si="0"/>
        <v>0.3494638438273302</v>
      </c>
      <c r="F11" s="39">
        <v>106</v>
      </c>
      <c r="G11" s="41">
        <f t="shared" si="1"/>
        <v>2.914489964256255E-2</v>
      </c>
      <c r="H11" s="39">
        <f t="shared" si="2"/>
        <v>1377</v>
      </c>
    </row>
    <row r="12" spans="2:8" ht="15" customHeight="1" x14ac:dyDescent="0.25">
      <c r="B12" s="37">
        <v>46148</v>
      </c>
      <c r="C12" s="39">
        <v>3440</v>
      </c>
      <c r="D12" s="39">
        <v>1151</v>
      </c>
      <c r="E12" s="41">
        <f t="shared" si="0"/>
        <v>0.33459302325581397</v>
      </c>
      <c r="F12" s="39">
        <v>55</v>
      </c>
      <c r="G12" s="41">
        <f t="shared" si="1"/>
        <v>1.5988372093023256E-2</v>
      </c>
      <c r="H12" s="39">
        <f t="shared" si="2"/>
        <v>1206</v>
      </c>
    </row>
    <row r="13" spans="2:8" ht="15" customHeight="1" x14ac:dyDescent="0.25">
      <c r="B13" s="37">
        <v>46149</v>
      </c>
      <c r="C13" s="39">
        <v>6529</v>
      </c>
      <c r="D13" s="39">
        <v>2246</v>
      </c>
      <c r="E13" s="41">
        <f t="shared" si="0"/>
        <v>0.34400367590748965</v>
      </c>
      <c r="F13" s="39">
        <v>224</v>
      </c>
      <c r="G13" s="41">
        <f t="shared" si="1"/>
        <v>3.430846990350743E-2</v>
      </c>
      <c r="H13" s="39">
        <f t="shared" si="2"/>
        <v>2470</v>
      </c>
    </row>
    <row r="14" spans="2:8" ht="15" customHeight="1" x14ac:dyDescent="0.25">
      <c r="B14" s="37">
        <v>46150</v>
      </c>
      <c r="C14" s="39">
        <v>5624</v>
      </c>
      <c r="D14" s="39">
        <v>1892</v>
      </c>
      <c r="E14" s="41">
        <f t="shared" si="0"/>
        <v>0.33641536273115219</v>
      </c>
      <c r="F14" s="39">
        <v>150</v>
      </c>
      <c r="G14" s="41">
        <f t="shared" si="1"/>
        <v>2.6671408250355619E-2</v>
      </c>
      <c r="H14" s="39">
        <f t="shared" si="2"/>
        <v>2042</v>
      </c>
    </row>
    <row r="15" spans="2:8" ht="15" customHeight="1" x14ac:dyDescent="0.25">
      <c r="B15" s="37">
        <v>46151</v>
      </c>
      <c r="C15" s="39">
        <v>6784</v>
      </c>
      <c r="D15" s="39">
        <v>1902</v>
      </c>
      <c r="E15" s="41">
        <f t="shared" si="0"/>
        <v>0.28036556603773582</v>
      </c>
      <c r="F15" s="39">
        <v>112</v>
      </c>
      <c r="G15" s="41">
        <f t="shared" si="1"/>
        <v>1.6509433962264151E-2</v>
      </c>
      <c r="H15" s="39">
        <f t="shared" si="2"/>
        <v>2014</v>
      </c>
    </row>
    <row r="16" spans="2:8" ht="15" customHeight="1" x14ac:dyDescent="0.25">
      <c r="B16" s="37">
        <v>46152</v>
      </c>
      <c r="C16" s="39">
        <v>3754</v>
      </c>
      <c r="D16" s="39">
        <v>1112</v>
      </c>
      <c r="E16" s="41">
        <f t="shared" si="0"/>
        <v>0.29621736814064997</v>
      </c>
      <c r="F16" s="39">
        <v>72</v>
      </c>
      <c r="G16" s="41">
        <f t="shared" si="1"/>
        <v>1.9179541822056473E-2</v>
      </c>
      <c r="H16" s="39">
        <f t="shared" si="2"/>
        <v>1184</v>
      </c>
    </row>
    <row r="17" spans="2:8" ht="15" customHeight="1" x14ac:dyDescent="0.25">
      <c r="B17" s="37">
        <v>46153</v>
      </c>
      <c r="C17" s="39">
        <v>4673</v>
      </c>
      <c r="D17" s="39">
        <v>1561</v>
      </c>
      <c r="E17" s="41">
        <f t="shared" si="0"/>
        <v>0.33404665097367858</v>
      </c>
      <c r="F17" s="39">
        <v>154</v>
      </c>
      <c r="G17" s="41">
        <f t="shared" si="1"/>
        <v>3.2955274983950351E-2</v>
      </c>
      <c r="H17" s="39">
        <f t="shared" si="2"/>
        <v>1715</v>
      </c>
    </row>
    <row r="18" spans="2:8" ht="15" customHeight="1" x14ac:dyDescent="0.25">
      <c r="B18" s="37">
        <v>46154</v>
      </c>
      <c r="C18" s="39">
        <v>3754</v>
      </c>
      <c r="D18" s="39">
        <v>1137</v>
      </c>
      <c r="E18" s="41">
        <f t="shared" si="0"/>
        <v>0.30287693127330845</v>
      </c>
      <c r="F18" s="39">
        <v>86</v>
      </c>
      <c r="G18" s="41">
        <f t="shared" si="1"/>
        <v>2.2908897176345231E-2</v>
      </c>
      <c r="H18" s="39">
        <f t="shared" si="2"/>
        <v>1223</v>
      </c>
    </row>
    <row r="19" spans="2:8" ht="15" customHeight="1" x14ac:dyDescent="0.25">
      <c r="B19" s="37">
        <v>46155</v>
      </c>
      <c r="C19" s="39">
        <v>4327</v>
      </c>
      <c r="D19" s="39">
        <v>1470</v>
      </c>
      <c r="E19" s="41">
        <f t="shared" si="0"/>
        <v>0.33972729373700022</v>
      </c>
      <c r="F19" s="39">
        <v>94</v>
      </c>
      <c r="G19" s="41">
        <f t="shared" si="1"/>
        <v>2.1724058238964641E-2</v>
      </c>
      <c r="H19" s="39">
        <f t="shared" si="2"/>
        <v>1564</v>
      </c>
    </row>
    <row r="20" spans="2:8" ht="15" customHeight="1" x14ac:dyDescent="0.25">
      <c r="B20" s="37">
        <v>46156</v>
      </c>
      <c r="C20" s="39">
        <v>5733</v>
      </c>
      <c r="D20" s="39">
        <v>1736</v>
      </c>
      <c r="E20" s="41">
        <f t="shared" si="0"/>
        <v>0.30280830280830279</v>
      </c>
      <c r="F20" s="39">
        <v>181</v>
      </c>
      <c r="G20" s="41">
        <f t="shared" si="1"/>
        <v>3.1571603000174427E-2</v>
      </c>
      <c r="H20" s="39">
        <f t="shared" si="2"/>
        <v>1917</v>
      </c>
    </row>
    <row r="21" spans="2:8" ht="15" customHeight="1" x14ac:dyDescent="0.25">
      <c r="B21" s="37">
        <v>46157</v>
      </c>
      <c r="C21" s="39">
        <v>5394</v>
      </c>
      <c r="D21" s="39">
        <v>1828</v>
      </c>
      <c r="E21" s="41">
        <f t="shared" si="0"/>
        <v>0.33889506859473489</v>
      </c>
      <c r="F21" s="39">
        <v>138</v>
      </c>
      <c r="G21" s="41">
        <f t="shared" si="1"/>
        <v>2.5583982202447165E-2</v>
      </c>
      <c r="H21" s="39">
        <f t="shared" si="2"/>
        <v>1966</v>
      </c>
    </row>
    <row r="22" spans="2:8" ht="15" customHeight="1" x14ac:dyDescent="0.25">
      <c r="B22" s="37">
        <v>46158</v>
      </c>
      <c r="C22" s="39">
        <v>6101</v>
      </c>
      <c r="D22" s="39">
        <v>2069</v>
      </c>
      <c r="E22" s="41">
        <f t="shared" si="0"/>
        <v>0.33912473365022128</v>
      </c>
      <c r="F22" s="39">
        <v>196</v>
      </c>
      <c r="G22" s="41">
        <f t="shared" si="1"/>
        <v>3.2125881003114247E-2</v>
      </c>
      <c r="H22" s="39">
        <f t="shared" si="2"/>
        <v>2265</v>
      </c>
    </row>
    <row r="23" spans="2:8" ht="15" customHeight="1" x14ac:dyDescent="0.25">
      <c r="B23" s="37">
        <v>46159</v>
      </c>
      <c r="C23" s="39">
        <v>4050</v>
      </c>
      <c r="D23" s="39">
        <v>1277</v>
      </c>
      <c r="E23" s="41">
        <f t="shared" si="0"/>
        <v>0.31530864197530867</v>
      </c>
      <c r="F23" s="39">
        <v>112</v>
      </c>
      <c r="G23" s="41">
        <f t="shared" si="1"/>
        <v>2.7654320987654323E-2</v>
      </c>
      <c r="H23" s="39">
        <f t="shared" si="2"/>
        <v>1389</v>
      </c>
    </row>
    <row r="24" spans="2:8" ht="15" customHeight="1" x14ac:dyDescent="0.25">
      <c r="B24" s="37">
        <v>46160</v>
      </c>
      <c r="C24" s="39">
        <v>3974</v>
      </c>
      <c r="D24" s="39">
        <v>1390</v>
      </c>
      <c r="E24" s="41">
        <f t="shared" si="0"/>
        <v>0.34977352793155508</v>
      </c>
      <c r="F24" s="39">
        <v>131</v>
      </c>
      <c r="G24" s="41">
        <f t="shared" si="1"/>
        <v>3.2964267740312025E-2</v>
      </c>
      <c r="H24" s="39">
        <f t="shared" si="2"/>
        <v>1521</v>
      </c>
    </row>
    <row r="25" spans="2:8" ht="15" customHeight="1" x14ac:dyDescent="0.25">
      <c r="B25" s="37">
        <v>46161</v>
      </c>
      <c r="C25" s="39">
        <v>4462</v>
      </c>
      <c r="D25" s="39">
        <v>1590</v>
      </c>
      <c r="E25" s="41">
        <f t="shared" si="0"/>
        <v>0.3563424473330345</v>
      </c>
      <c r="F25" s="39">
        <v>73</v>
      </c>
      <c r="G25" s="41">
        <f t="shared" si="1"/>
        <v>1.6360376512774541E-2</v>
      </c>
      <c r="H25" s="39">
        <f t="shared" si="2"/>
        <v>1663</v>
      </c>
    </row>
    <row r="26" spans="2:8" ht="15" customHeight="1" x14ac:dyDescent="0.25">
      <c r="B26" s="37">
        <v>46162</v>
      </c>
      <c r="C26" s="39">
        <v>3382</v>
      </c>
      <c r="D26" s="39">
        <v>1127</v>
      </c>
      <c r="E26" s="41">
        <f t="shared" si="0"/>
        <v>0.33323477232406862</v>
      </c>
      <c r="F26" s="39">
        <v>71</v>
      </c>
      <c r="G26" s="41">
        <f t="shared" si="1"/>
        <v>2.0993494973388527E-2</v>
      </c>
      <c r="H26" s="39">
        <f t="shared" si="2"/>
        <v>1198</v>
      </c>
    </row>
    <row r="27" spans="2:8" ht="15" customHeight="1" x14ac:dyDescent="0.25">
      <c r="B27" s="37">
        <v>46163</v>
      </c>
      <c r="C27" s="39">
        <v>6041</v>
      </c>
      <c r="D27" s="39">
        <v>2112</v>
      </c>
      <c r="E27" s="41">
        <f t="shared" si="0"/>
        <v>0.3496109915576891</v>
      </c>
      <c r="F27" s="39">
        <v>193</v>
      </c>
      <c r="G27" s="41">
        <f t="shared" si="1"/>
        <v>3.1948352921701707E-2</v>
      </c>
      <c r="H27" s="39">
        <f t="shared" si="2"/>
        <v>2305</v>
      </c>
    </row>
    <row r="28" spans="2:8" ht="15" customHeight="1" x14ac:dyDescent="0.25">
      <c r="B28" s="37">
        <v>46164</v>
      </c>
      <c r="C28" s="39">
        <v>5804</v>
      </c>
      <c r="D28" s="39">
        <v>1970</v>
      </c>
      <c r="E28" s="41">
        <f t="shared" si="0"/>
        <v>0.33942108890420397</v>
      </c>
      <c r="F28" s="39">
        <v>109</v>
      </c>
      <c r="G28" s="41">
        <f t="shared" si="1"/>
        <v>1.8780151619572708E-2</v>
      </c>
      <c r="H28" s="39">
        <f t="shared" si="2"/>
        <v>2079</v>
      </c>
    </row>
    <row r="29" spans="2:8" ht="15" customHeight="1" x14ac:dyDescent="0.25">
      <c r="B29" s="37">
        <v>46165</v>
      </c>
      <c r="C29" s="39">
        <v>6810</v>
      </c>
      <c r="D29" s="39">
        <v>2321</v>
      </c>
      <c r="E29" s="41">
        <f t="shared" si="0"/>
        <v>0.34082232011747432</v>
      </c>
      <c r="F29" s="39">
        <v>116</v>
      </c>
      <c r="G29" s="41">
        <f t="shared" si="1"/>
        <v>1.7033773861967694E-2</v>
      </c>
      <c r="H29" s="39">
        <f t="shared" si="2"/>
        <v>2437</v>
      </c>
    </row>
    <row r="30" spans="2:8" ht="15" customHeight="1" x14ac:dyDescent="0.25">
      <c r="B30" s="37">
        <v>46166</v>
      </c>
      <c r="C30" s="39">
        <v>3858</v>
      </c>
      <c r="D30" s="39">
        <v>1270</v>
      </c>
      <c r="E30" s="41">
        <f t="shared" si="0"/>
        <v>0.32918610679108345</v>
      </c>
      <c r="F30" s="39">
        <v>127</v>
      </c>
      <c r="G30" s="41">
        <f t="shared" si="1"/>
        <v>3.2918610679108347E-2</v>
      </c>
      <c r="H30" s="39">
        <f t="shared" si="2"/>
        <v>1397</v>
      </c>
    </row>
    <row r="31" spans="2:8" ht="15" customHeight="1" x14ac:dyDescent="0.25">
      <c r="B31" s="37">
        <v>46167</v>
      </c>
      <c r="C31" s="39">
        <v>4254</v>
      </c>
      <c r="D31" s="39">
        <v>1239</v>
      </c>
      <c r="E31" s="41">
        <f t="shared" si="0"/>
        <v>0.29125528913963328</v>
      </c>
      <c r="F31" s="39">
        <v>159</v>
      </c>
      <c r="G31" s="41">
        <f t="shared" si="1"/>
        <v>3.7376586741889983E-2</v>
      </c>
      <c r="H31" s="39">
        <f t="shared" si="2"/>
        <v>1398</v>
      </c>
    </row>
    <row r="32" spans="2:8" ht="15" customHeight="1" x14ac:dyDescent="0.25">
      <c r="B32" s="37">
        <v>46168</v>
      </c>
      <c r="C32" s="39">
        <v>3916</v>
      </c>
      <c r="D32" s="39">
        <v>1273</v>
      </c>
      <c r="E32" s="41">
        <f t="shared" si="0"/>
        <v>0.32507660878447397</v>
      </c>
      <c r="F32" s="39">
        <v>92</v>
      </c>
      <c r="G32" s="41">
        <f t="shared" si="1"/>
        <v>2.3493360572012258E-2</v>
      </c>
      <c r="H32" s="39">
        <f t="shared" si="2"/>
        <v>1365</v>
      </c>
    </row>
    <row r="33" spans="2:8" ht="15" customHeight="1" x14ac:dyDescent="0.25">
      <c r="B33" s="37">
        <v>46169</v>
      </c>
      <c r="C33" s="39">
        <v>4120</v>
      </c>
      <c r="D33" s="39">
        <v>1405</v>
      </c>
      <c r="E33" s="41">
        <f t="shared" si="0"/>
        <v>0.34101941747572817</v>
      </c>
      <c r="F33" s="39">
        <v>64</v>
      </c>
      <c r="G33" s="41">
        <f t="shared" si="1"/>
        <v>1.5533980582524271E-2</v>
      </c>
      <c r="H33" s="39">
        <f t="shared" si="2"/>
        <v>1469</v>
      </c>
    </row>
    <row r="34" spans="2:8" ht="15" customHeight="1" x14ac:dyDescent="0.25">
      <c r="B34" s="37">
        <v>46170</v>
      </c>
      <c r="C34" s="39">
        <v>6099</v>
      </c>
      <c r="D34" s="39">
        <v>1828</v>
      </c>
      <c r="E34" s="41">
        <f t="shared" si="0"/>
        <v>0.29972126578127561</v>
      </c>
      <c r="F34" s="39">
        <v>145</v>
      </c>
      <c r="G34" s="41">
        <f t="shared" si="1"/>
        <v>2.3774389244138383E-2</v>
      </c>
      <c r="H34" s="39">
        <f t="shared" si="2"/>
        <v>1973</v>
      </c>
    </row>
    <row r="35" spans="2:8" ht="15" customHeight="1" x14ac:dyDescent="0.25">
      <c r="B35" s="37">
        <v>46171</v>
      </c>
      <c r="C35" s="39">
        <v>5423</v>
      </c>
      <c r="D35" s="39">
        <v>1767</v>
      </c>
      <c r="E35" s="41">
        <f t="shared" si="0"/>
        <v>0.32583440899870919</v>
      </c>
      <c r="F35" s="39">
        <v>95</v>
      </c>
      <c r="G35" s="41">
        <f t="shared" si="1"/>
        <v>1.7517978978425226E-2</v>
      </c>
      <c r="H35" s="39">
        <f t="shared" si="2"/>
        <v>1862</v>
      </c>
    </row>
    <row r="36" spans="2:8" ht="15" customHeight="1" x14ac:dyDescent="0.25">
      <c r="B36" s="38"/>
      <c r="C36" s="39"/>
      <c r="D36" s="39"/>
      <c r="E36" s="38"/>
      <c r="F36" s="39"/>
      <c r="G36" s="38"/>
      <c r="H36" s="39"/>
    </row>
    <row r="37" spans="2:8" ht="15" customHeight="1" x14ac:dyDescent="0.25">
      <c r="B37" s="53" t="s">
        <v>92</v>
      </c>
      <c r="C37" s="54">
        <f>SUM(C6:C35)</f>
        <v>148455</v>
      </c>
      <c r="D37" s="54">
        <f>SUM(D6:D35)</f>
        <v>48095</v>
      </c>
      <c r="E37" s="47">
        <f>D37/C37</f>
        <v>0.32397022666801389</v>
      </c>
      <c r="F37" s="54">
        <f>SUM(F6:F35)</f>
        <v>3790</v>
      </c>
      <c r="G37" s="47">
        <f>F37/C37</f>
        <v>2.5529621770907007E-2</v>
      </c>
      <c r="H37" s="54">
        <f>SUM(H6:H35)</f>
        <v>51885</v>
      </c>
    </row>
  </sheetData>
  <autoFilter ref="B5:H35" xr:uid="{00000000-0009-0000-0000-000002000000}"/>
  <conditionalFormatting sqref="E6:E35">
    <cfRule type="cellIs" dxfId="26" priority="2" operator="lessThan">
      <formula>0.28</formula>
    </cfRule>
    <cfRule type="cellIs" dxfId="25" priority="3" operator="between">
      <formula>0.28</formula>
      <formula>0.35</formula>
    </cfRule>
    <cfRule type="cellIs" dxfId="24" priority="4" operator="greaterThan">
      <formula>0.35</formula>
    </cfRule>
  </conditionalFormatting>
  <conditionalFormatting sqref="G6:G35">
    <cfRule type="cellIs" dxfId="23" priority="5" operator="lessThan">
      <formula>0.02</formula>
    </cfRule>
    <cfRule type="cellIs" dxfId="22" priority="6" operator="between">
      <formula>0.02</formula>
      <formula>0.05</formula>
    </cfRule>
    <cfRule type="cellIs" dxfId="21" priority="7" operator="greaterThan">
      <formula>0.05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7"/>
  <sheetViews>
    <sheetView zoomScaleNormal="100" workbookViewId="0">
      <pane ySplit="5" topLeftCell="A6" activePane="bottomLeft" state="frozen"/>
      <selection pane="bottomLeft" activeCell="H28" sqref="H28"/>
    </sheetView>
  </sheetViews>
  <sheetFormatPr defaultColWidth="8.5703125" defaultRowHeight="15" x14ac:dyDescent="0.25"/>
  <cols>
    <col min="1" max="1" width="3.85546875" customWidth="1"/>
    <col min="2" max="2" width="29.42578125" customWidth="1"/>
    <col min="3" max="8" width="21" customWidth="1"/>
  </cols>
  <sheetData>
    <row r="2" spans="2:8" ht="24" customHeight="1" x14ac:dyDescent="0.4">
      <c r="B2" s="34" t="s">
        <v>96</v>
      </c>
    </row>
    <row r="3" spans="2:8" ht="15" customHeight="1" x14ac:dyDescent="0.25">
      <c r="B3" s="35" t="s">
        <v>97</v>
      </c>
    </row>
    <row r="5" spans="2:8" ht="27.75" customHeight="1" x14ac:dyDescent="0.25">
      <c r="B5" s="19" t="s">
        <v>54</v>
      </c>
      <c r="C5" s="19" t="s">
        <v>77</v>
      </c>
      <c r="D5" s="19" t="s">
        <v>71</v>
      </c>
      <c r="E5" s="19" t="s">
        <v>33</v>
      </c>
      <c r="F5" s="19" t="s">
        <v>98</v>
      </c>
      <c r="G5" s="19" t="s">
        <v>99</v>
      </c>
      <c r="H5" s="19" t="s">
        <v>62</v>
      </c>
    </row>
    <row r="6" spans="2:8" ht="15" customHeight="1" x14ac:dyDescent="0.25">
      <c r="B6" s="37">
        <v>46142</v>
      </c>
      <c r="C6" s="39">
        <v>8198</v>
      </c>
      <c r="D6" s="39">
        <v>2776</v>
      </c>
      <c r="E6" s="41">
        <f t="shared" ref="E6:E35" si="0">IFERROR(D6/C6,0)</f>
        <v>0.33861917540863623</v>
      </c>
      <c r="F6" s="38">
        <v>82</v>
      </c>
      <c r="G6" s="38">
        <v>2</v>
      </c>
      <c r="H6" s="40">
        <f t="shared" ref="H6:H35" si="1">IFERROR(C6/F6,0)</f>
        <v>99.975609756097555</v>
      </c>
    </row>
    <row r="7" spans="2:8" ht="15" customHeight="1" x14ac:dyDescent="0.25">
      <c r="B7" s="37">
        <v>46143</v>
      </c>
      <c r="C7" s="39">
        <v>8972</v>
      </c>
      <c r="D7" s="39">
        <v>3036</v>
      </c>
      <c r="E7" s="41">
        <f t="shared" si="0"/>
        <v>0.33838609005795811</v>
      </c>
      <c r="F7" s="38">
        <v>75</v>
      </c>
      <c r="G7" s="38">
        <v>1</v>
      </c>
      <c r="H7" s="40">
        <f t="shared" si="1"/>
        <v>119.62666666666667</v>
      </c>
    </row>
    <row r="8" spans="2:8" ht="15" customHeight="1" x14ac:dyDescent="0.25">
      <c r="B8" s="37">
        <v>46144</v>
      </c>
      <c r="C8" s="39">
        <v>9475</v>
      </c>
      <c r="D8" s="39">
        <v>2423</v>
      </c>
      <c r="E8" s="41">
        <f t="shared" si="0"/>
        <v>0.25572559366754616</v>
      </c>
      <c r="F8" s="38">
        <v>79</v>
      </c>
      <c r="G8" s="38">
        <v>5</v>
      </c>
      <c r="H8" s="40">
        <f t="shared" si="1"/>
        <v>119.9367088607595</v>
      </c>
    </row>
    <row r="9" spans="2:8" ht="15" customHeight="1" x14ac:dyDescent="0.25">
      <c r="B9" s="37">
        <v>46145</v>
      </c>
      <c r="C9" s="39">
        <v>6309</v>
      </c>
      <c r="D9" s="39">
        <v>1765</v>
      </c>
      <c r="E9" s="41">
        <f t="shared" si="0"/>
        <v>0.27975907433824693</v>
      </c>
      <c r="F9" s="38">
        <v>51</v>
      </c>
      <c r="G9" s="38">
        <v>0</v>
      </c>
      <c r="H9" s="40">
        <f t="shared" si="1"/>
        <v>123.70588235294117</v>
      </c>
    </row>
    <row r="10" spans="2:8" ht="15" customHeight="1" x14ac:dyDescent="0.25">
      <c r="B10" s="37">
        <v>46146</v>
      </c>
      <c r="C10" s="39">
        <v>5984</v>
      </c>
      <c r="D10" s="39">
        <v>1523</v>
      </c>
      <c r="E10" s="41">
        <f t="shared" si="0"/>
        <v>0.2545120320855615</v>
      </c>
      <c r="F10" s="38">
        <v>58</v>
      </c>
      <c r="G10" s="38">
        <v>7</v>
      </c>
      <c r="H10" s="40">
        <f t="shared" si="1"/>
        <v>103.17241379310344</v>
      </c>
    </row>
    <row r="11" spans="2:8" ht="15" customHeight="1" x14ac:dyDescent="0.25">
      <c r="B11" s="37">
        <v>46147</v>
      </c>
      <c r="C11" s="39">
        <v>6348</v>
      </c>
      <c r="D11" s="39">
        <v>1779</v>
      </c>
      <c r="E11" s="41">
        <f t="shared" si="0"/>
        <v>0.28024574669187147</v>
      </c>
      <c r="F11" s="38">
        <v>45</v>
      </c>
      <c r="G11" s="38">
        <v>5</v>
      </c>
      <c r="H11" s="40">
        <f t="shared" si="1"/>
        <v>141.06666666666666</v>
      </c>
    </row>
    <row r="12" spans="2:8" ht="15" customHeight="1" x14ac:dyDescent="0.25">
      <c r="B12" s="37">
        <v>46148</v>
      </c>
      <c r="C12" s="39">
        <v>4531</v>
      </c>
      <c r="D12" s="39">
        <v>1505</v>
      </c>
      <c r="E12" s="41">
        <f t="shared" si="0"/>
        <v>0.33215625689693223</v>
      </c>
      <c r="F12" s="38">
        <v>59</v>
      </c>
      <c r="G12" s="38">
        <v>3</v>
      </c>
      <c r="H12" s="40">
        <f t="shared" si="1"/>
        <v>76.79661016949153</v>
      </c>
    </row>
    <row r="13" spans="2:8" ht="15" customHeight="1" x14ac:dyDescent="0.25">
      <c r="B13" s="37">
        <v>46149</v>
      </c>
      <c r="C13" s="39">
        <v>9076</v>
      </c>
      <c r="D13" s="39">
        <v>2248</v>
      </c>
      <c r="E13" s="41">
        <f t="shared" si="0"/>
        <v>0.24768620537681799</v>
      </c>
      <c r="F13" s="38">
        <v>80</v>
      </c>
      <c r="G13" s="38">
        <v>3</v>
      </c>
      <c r="H13" s="40">
        <f t="shared" si="1"/>
        <v>113.45</v>
      </c>
    </row>
    <row r="14" spans="2:8" ht="15" customHeight="1" x14ac:dyDescent="0.25">
      <c r="B14" s="37">
        <v>46150</v>
      </c>
      <c r="C14" s="39">
        <v>8477</v>
      </c>
      <c r="D14" s="39">
        <v>2815</v>
      </c>
      <c r="E14" s="41">
        <f t="shared" si="0"/>
        <v>0.33207502654240889</v>
      </c>
      <c r="F14" s="38">
        <v>74</v>
      </c>
      <c r="G14" s="38">
        <v>1</v>
      </c>
      <c r="H14" s="40">
        <f t="shared" si="1"/>
        <v>114.55405405405405</v>
      </c>
    </row>
    <row r="15" spans="2:8" ht="15" customHeight="1" x14ac:dyDescent="0.25">
      <c r="B15" s="37">
        <v>46151</v>
      </c>
      <c r="C15" s="39">
        <v>8497</v>
      </c>
      <c r="D15" s="39">
        <v>2135</v>
      </c>
      <c r="E15" s="41">
        <f t="shared" si="0"/>
        <v>0.25126515240673181</v>
      </c>
      <c r="F15" s="38">
        <v>73</v>
      </c>
      <c r="G15" s="38">
        <v>4</v>
      </c>
      <c r="H15" s="40">
        <f t="shared" si="1"/>
        <v>116.39726027397261</v>
      </c>
    </row>
    <row r="16" spans="2:8" ht="15" customHeight="1" x14ac:dyDescent="0.25">
      <c r="B16" s="37">
        <v>46152</v>
      </c>
      <c r="C16" s="39">
        <v>5730</v>
      </c>
      <c r="D16" s="39">
        <v>1743</v>
      </c>
      <c r="E16" s="41">
        <f t="shared" si="0"/>
        <v>0.3041884816753927</v>
      </c>
      <c r="F16" s="38">
        <v>52</v>
      </c>
      <c r="G16" s="38">
        <v>2</v>
      </c>
      <c r="H16" s="40">
        <f t="shared" si="1"/>
        <v>110.19230769230769</v>
      </c>
    </row>
    <row r="17" spans="2:8" ht="15" customHeight="1" x14ac:dyDescent="0.25">
      <c r="B17" s="37">
        <v>46153</v>
      </c>
      <c r="C17" s="39">
        <v>4579</v>
      </c>
      <c r="D17" s="39">
        <v>1129</v>
      </c>
      <c r="E17" s="41">
        <f t="shared" si="0"/>
        <v>0.24656038436339811</v>
      </c>
      <c r="F17" s="38">
        <v>45</v>
      </c>
      <c r="G17" s="38">
        <v>5</v>
      </c>
      <c r="H17" s="40">
        <f t="shared" si="1"/>
        <v>101.75555555555556</v>
      </c>
    </row>
    <row r="18" spans="2:8" ht="15" customHeight="1" x14ac:dyDescent="0.25">
      <c r="B18" s="37">
        <v>46154</v>
      </c>
      <c r="C18" s="39">
        <v>6282</v>
      </c>
      <c r="D18" s="39">
        <v>1790</v>
      </c>
      <c r="E18" s="41">
        <f t="shared" si="0"/>
        <v>0.28494110156001273</v>
      </c>
      <c r="F18" s="38">
        <v>55</v>
      </c>
      <c r="G18" s="38">
        <v>1</v>
      </c>
      <c r="H18" s="40">
        <f t="shared" si="1"/>
        <v>114.21818181818182</v>
      </c>
    </row>
    <row r="19" spans="2:8" ht="15" customHeight="1" x14ac:dyDescent="0.25">
      <c r="B19" s="37">
        <v>46155</v>
      </c>
      <c r="C19" s="39">
        <v>4740</v>
      </c>
      <c r="D19" s="39">
        <v>1384</v>
      </c>
      <c r="E19" s="41">
        <f t="shared" si="0"/>
        <v>0.29198312236286922</v>
      </c>
      <c r="F19" s="38">
        <v>55</v>
      </c>
      <c r="G19" s="38">
        <v>6</v>
      </c>
      <c r="H19" s="40">
        <f t="shared" si="1"/>
        <v>86.181818181818187</v>
      </c>
    </row>
    <row r="20" spans="2:8" ht="15" customHeight="1" x14ac:dyDescent="0.25">
      <c r="B20" s="37">
        <v>46156</v>
      </c>
      <c r="C20" s="39">
        <v>8159</v>
      </c>
      <c r="D20" s="39">
        <v>2530</v>
      </c>
      <c r="E20" s="41">
        <f t="shared" si="0"/>
        <v>0.31008702046819464</v>
      </c>
      <c r="F20" s="38">
        <v>74</v>
      </c>
      <c r="G20" s="38">
        <v>4</v>
      </c>
      <c r="H20" s="40">
        <f t="shared" si="1"/>
        <v>110.25675675675676</v>
      </c>
    </row>
    <row r="21" spans="2:8" ht="15" customHeight="1" x14ac:dyDescent="0.25">
      <c r="B21" s="37">
        <v>46157</v>
      </c>
      <c r="C21" s="39">
        <v>7866</v>
      </c>
      <c r="D21" s="39">
        <v>2090</v>
      </c>
      <c r="E21" s="41">
        <f t="shared" si="0"/>
        <v>0.26570048309178745</v>
      </c>
      <c r="F21" s="38">
        <v>74</v>
      </c>
      <c r="G21" s="38">
        <v>4</v>
      </c>
      <c r="H21" s="40">
        <f t="shared" si="1"/>
        <v>106.29729729729729</v>
      </c>
    </row>
    <row r="22" spans="2:8" ht="15" customHeight="1" x14ac:dyDescent="0.25">
      <c r="B22" s="37">
        <v>46158</v>
      </c>
      <c r="C22" s="39">
        <v>7798</v>
      </c>
      <c r="D22" s="39">
        <v>2085</v>
      </c>
      <c r="E22" s="41">
        <f t="shared" si="0"/>
        <v>0.26737625032059503</v>
      </c>
      <c r="F22" s="38">
        <v>74</v>
      </c>
      <c r="G22" s="38">
        <v>3</v>
      </c>
      <c r="H22" s="40">
        <f t="shared" si="1"/>
        <v>105.37837837837837</v>
      </c>
    </row>
    <row r="23" spans="2:8" ht="15" customHeight="1" x14ac:dyDescent="0.25">
      <c r="B23" s="37">
        <v>46159</v>
      </c>
      <c r="C23" s="39">
        <v>5315</v>
      </c>
      <c r="D23" s="39">
        <v>1377</v>
      </c>
      <c r="E23" s="41">
        <f t="shared" si="0"/>
        <v>0.25907808090310441</v>
      </c>
      <c r="F23" s="38">
        <v>48</v>
      </c>
      <c r="G23" s="38">
        <v>2</v>
      </c>
      <c r="H23" s="40">
        <f t="shared" si="1"/>
        <v>110.72916666666667</v>
      </c>
    </row>
    <row r="24" spans="2:8" ht="15" customHeight="1" x14ac:dyDescent="0.25">
      <c r="B24" s="37">
        <v>46160</v>
      </c>
      <c r="C24" s="39">
        <v>6197</v>
      </c>
      <c r="D24" s="39">
        <v>2063</v>
      </c>
      <c r="E24" s="41">
        <f t="shared" si="0"/>
        <v>0.33290301758915603</v>
      </c>
      <c r="F24" s="38">
        <v>57</v>
      </c>
      <c r="G24" s="38">
        <v>1</v>
      </c>
      <c r="H24" s="40">
        <f t="shared" si="1"/>
        <v>108.71929824561404</v>
      </c>
    </row>
    <row r="25" spans="2:8" ht="15" customHeight="1" x14ac:dyDescent="0.25">
      <c r="B25" s="37">
        <v>46161</v>
      </c>
      <c r="C25" s="39">
        <v>5635</v>
      </c>
      <c r="D25" s="39">
        <v>1372</v>
      </c>
      <c r="E25" s="41">
        <f t="shared" si="0"/>
        <v>0.24347826086956523</v>
      </c>
      <c r="F25" s="38">
        <v>57</v>
      </c>
      <c r="G25" s="38">
        <v>0</v>
      </c>
      <c r="H25" s="40">
        <f t="shared" si="1"/>
        <v>98.859649122807014</v>
      </c>
    </row>
    <row r="26" spans="2:8" ht="15" customHeight="1" x14ac:dyDescent="0.25">
      <c r="B26" s="37">
        <v>46162</v>
      </c>
      <c r="C26" s="39">
        <v>4931</v>
      </c>
      <c r="D26" s="39">
        <v>1221</v>
      </c>
      <c r="E26" s="41">
        <f t="shared" si="0"/>
        <v>0.24761711620360982</v>
      </c>
      <c r="F26" s="38">
        <v>51</v>
      </c>
      <c r="G26" s="38">
        <v>7</v>
      </c>
      <c r="H26" s="40">
        <f t="shared" si="1"/>
        <v>96.686274509803923</v>
      </c>
    </row>
    <row r="27" spans="2:8" ht="15" customHeight="1" x14ac:dyDescent="0.25">
      <c r="B27" s="37">
        <v>46163</v>
      </c>
      <c r="C27" s="39">
        <v>7708</v>
      </c>
      <c r="D27" s="39">
        <v>1953</v>
      </c>
      <c r="E27" s="41">
        <f t="shared" si="0"/>
        <v>0.25337311883757135</v>
      </c>
      <c r="F27" s="38">
        <v>69</v>
      </c>
      <c r="G27" s="38">
        <v>1</v>
      </c>
      <c r="H27" s="40">
        <f t="shared" si="1"/>
        <v>111.71014492753623</v>
      </c>
    </row>
    <row r="28" spans="2:8" ht="15" customHeight="1" x14ac:dyDescent="0.25">
      <c r="B28" s="37">
        <v>46164</v>
      </c>
      <c r="C28" s="39">
        <v>8900</v>
      </c>
      <c r="D28" s="39">
        <v>2182</v>
      </c>
      <c r="E28" s="41">
        <f t="shared" si="0"/>
        <v>0.2451685393258427</v>
      </c>
      <c r="F28" s="38">
        <v>70</v>
      </c>
      <c r="G28" s="38">
        <v>2</v>
      </c>
      <c r="H28" s="40">
        <f t="shared" si="1"/>
        <v>127.14285714285714</v>
      </c>
    </row>
    <row r="29" spans="2:8" ht="15" customHeight="1" x14ac:dyDescent="0.25">
      <c r="B29" s="37">
        <v>46165</v>
      </c>
      <c r="C29" s="39">
        <v>9128</v>
      </c>
      <c r="D29" s="39">
        <v>2775</v>
      </c>
      <c r="E29" s="41">
        <f t="shared" si="0"/>
        <v>0.30400964066608238</v>
      </c>
      <c r="F29" s="38">
        <v>65</v>
      </c>
      <c r="G29" s="38">
        <v>6</v>
      </c>
      <c r="H29" s="40">
        <f t="shared" si="1"/>
        <v>140.43076923076924</v>
      </c>
    </row>
    <row r="30" spans="2:8" ht="15" customHeight="1" x14ac:dyDescent="0.25">
      <c r="B30" s="37">
        <v>46166</v>
      </c>
      <c r="C30" s="39">
        <v>5525</v>
      </c>
      <c r="D30" s="39">
        <v>1344</v>
      </c>
      <c r="E30" s="41">
        <f t="shared" si="0"/>
        <v>0.24325791855203621</v>
      </c>
      <c r="F30" s="38">
        <v>48</v>
      </c>
      <c r="G30" s="38">
        <v>4</v>
      </c>
      <c r="H30" s="40">
        <f t="shared" si="1"/>
        <v>115.10416666666667</v>
      </c>
    </row>
    <row r="31" spans="2:8" ht="15" customHeight="1" x14ac:dyDescent="0.25">
      <c r="B31" s="37">
        <v>46167</v>
      </c>
      <c r="C31" s="39">
        <v>5013</v>
      </c>
      <c r="D31" s="39">
        <v>1574</v>
      </c>
      <c r="E31" s="41">
        <f t="shared" si="0"/>
        <v>0.31398364252942351</v>
      </c>
      <c r="F31" s="38">
        <v>46</v>
      </c>
      <c r="G31" s="38">
        <v>1</v>
      </c>
      <c r="H31" s="40">
        <f t="shared" si="1"/>
        <v>108.97826086956522</v>
      </c>
    </row>
    <row r="32" spans="2:8" ht="15" customHeight="1" x14ac:dyDescent="0.25">
      <c r="B32" s="37">
        <v>46168</v>
      </c>
      <c r="C32" s="39">
        <v>4891</v>
      </c>
      <c r="D32" s="39">
        <v>1188</v>
      </c>
      <c r="E32" s="41">
        <f t="shared" si="0"/>
        <v>0.24289511347372725</v>
      </c>
      <c r="F32" s="38">
        <v>46</v>
      </c>
      <c r="G32" s="38">
        <v>6</v>
      </c>
      <c r="H32" s="40">
        <f t="shared" si="1"/>
        <v>106.32608695652173</v>
      </c>
    </row>
    <row r="33" spans="2:8" ht="15" customHeight="1" x14ac:dyDescent="0.25">
      <c r="B33" s="37">
        <v>46169</v>
      </c>
      <c r="C33" s="39">
        <v>5500</v>
      </c>
      <c r="D33" s="39">
        <v>1569</v>
      </c>
      <c r="E33" s="41">
        <f t="shared" si="0"/>
        <v>0.28527272727272729</v>
      </c>
      <c r="F33" s="38">
        <v>50</v>
      </c>
      <c r="G33" s="38">
        <v>2</v>
      </c>
      <c r="H33" s="40">
        <f t="shared" si="1"/>
        <v>110</v>
      </c>
    </row>
    <row r="34" spans="2:8" ht="15" customHeight="1" x14ac:dyDescent="0.25">
      <c r="B34" s="37">
        <v>46170</v>
      </c>
      <c r="C34" s="39">
        <v>8385</v>
      </c>
      <c r="D34" s="39">
        <v>2338</v>
      </c>
      <c r="E34" s="41">
        <f t="shared" si="0"/>
        <v>0.27883124627310674</v>
      </c>
      <c r="F34" s="38">
        <v>72</v>
      </c>
      <c r="G34" s="38">
        <v>5</v>
      </c>
      <c r="H34" s="40">
        <f t="shared" si="1"/>
        <v>116.45833333333333</v>
      </c>
    </row>
    <row r="35" spans="2:8" ht="15" customHeight="1" x14ac:dyDescent="0.25">
      <c r="B35" s="37">
        <v>46171</v>
      </c>
      <c r="C35" s="39">
        <v>8102</v>
      </c>
      <c r="D35" s="39">
        <v>2324</v>
      </c>
      <c r="E35" s="41">
        <f t="shared" si="0"/>
        <v>0.28684275487533945</v>
      </c>
      <c r="F35" s="38">
        <v>80</v>
      </c>
      <c r="G35" s="38">
        <v>7</v>
      </c>
      <c r="H35" s="40">
        <f t="shared" si="1"/>
        <v>101.27500000000001</v>
      </c>
    </row>
    <row r="36" spans="2:8" ht="15" customHeight="1" x14ac:dyDescent="0.25">
      <c r="B36" s="38"/>
      <c r="C36" s="39"/>
      <c r="D36" s="39"/>
      <c r="E36" s="38"/>
      <c r="F36" s="38"/>
      <c r="G36" s="38"/>
      <c r="H36" s="40"/>
    </row>
    <row r="37" spans="2:8" ht="15" customHeight="1" x14ac:dyDescent="0.25">
      <c r="B37" s="53" t="s">
        <v>92</v>
      </c>
      <c r="C37" s="54">
        <f>SUM(C6:C35)</f>
        <v>206251</v>
      </c>
      <c r="D37" s="54">
        <f>SUM(D6:D35)</f>
        <v>58036</v>
      </c>
      <c r="E37" s="47">
        <f>D37/C37</f>
        <v>0.28138530237429155</v>
      </c>
      <c r="F37" s="27">
        <f>SUM(F6:F35)</f>
        <v>1864</v>
      </c>
      <c r="G37" s="27">
        <f>SUM(G6:G35)</f>
        <v>100</v>
      </c>
      <c r="H37" s="55">
        <f>C37/F37</f>
        <v>110.64967811158799</v>
      </c>
    </row>
  </sheetData>
  <autoFilter ref="B5:H35" xr:uid="{00000000-0009-0000-0000-000003000000}"/>
  <conditionalFormatting sqref="E6:E35">
    <cfRule type="cellIs" dxfId="20" priority="2" operator="lessThan">
      <formula>0.25</formula>
    </cfRule>
    <cfRule type="cellIs" dxfId="19" priority="3" operator="between">
      <formula>0.25</formula>
      <formula>0.35</formula>
    </cfRule>
    <cfRule type="cellIs" dxfId="18" priority="4" operator="greaterThan">
      <formula>0.35</formula>
    </cfRule>
  </conditionalFormatting>
  <conditionalFormatting sqref="H6:H35">
    <cfRule type="cellIs" dxfId="17" priority="5" operator="greaterThan">
      <formula>50</formula>
    </cfRule>
    <cfRule type="cellIs" dxfId="16" priority="6" operator="between">
      <formula>30</formula>
      <formula>50</formula>
    </cfRule>
    <cfRule type="cellIs" dxfId="15" priority="7" operator="lessThan">
      <formula>30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27"/>
  <sheetViews>
    <sheetView zoomScaleNormal="100" workbookViewId="0">
      <pane ySplit="5" topLeftCell="A6" activePane="bottomLeft" state="frozen"/>
      <selection pane="bottomLeft" activeCell="K22" sqref="K22"/>
    </sheetView>
  </sheetViews>
  <sheetFormatPr defaultColWidth="8.5703125" defaultRowHeight="15" x14ac:dyDescent="0.25"/>
  <cols>
    <col min="1" max="1" width="3.85546875" customWidth="1"/>
    <col min="2" max="2" width="22.85546875" customWidth="1"/>
    <col min="3" max="3" width="15.28515625" customWidth="1"/>
    <col min="4" max="4" width="9.5703125" customWidth="1"/>
    <col min="5" max="13" width="17.140625" customWidth="1"/>
  </cols>
  <sheetData>
    <row r="2" spans="2:13" ht="24" customHeight="1" x14ac:dyDescent="0.4">
      <c r="B2" s="34" t="s">
        <v>100</v>
      </c>
    </row>
    <row r="3" spans="2:13" ht="15" customHeight="1" x14ac:dyDescent="0.25">
      <c r="B3" s="35" t="s">
        <v>101</v>
      </c>
    </row>
    <row r="5" spans="2:13" ht="27.75" customHeight="1" x14ac:dyDescent="0.25">
      <c r="B5" s="36" t="s">
        <v>102</v>
      </c>
      <c r="C5" s="36" t="s">
        <v>68</v>
      </c>
      <c r="D5" s="36" t="s">
        <v>103</v>
      </c>
      <c r="E5" s="36" t="s">
        <v>104</v>
      </c>
      <c r="F5" s="36" t="s">
        <v>105</v>
      </c>
      <c r="G5" s="36" t="s">
        <v>106</v>
      </c>
      <c r="H5" s="36" t="s">
        <v>107</v>
      </c>
      <c r="I5" s="36" t="s">
        <v>108</v>
      </c>
      <c r="J5" s="36" t="s">
        <v>26</v>
      </c>
      <c r="K5" s="36" t="s">
        <v>109</v>
      </c>
      <c r="L5" s="36" t="s">
        <v>110</v>
      </c>
      <c r="M5" s="36" t="s">
        <v>42</v>
      </c>
    </row>
    <row r="6" spans="2:13" ht="15" customHeight="1" x14ac:dyDescent="0.25">
      <c r="B6" s="38" t="s">
        <v>111</v>
      </c>
      <c r="C6" s="38" t="s">
        <v>112</v>
      </c>
      <c r="D6" s="38" t="s">
        <v>113</v>
      </c>
      <c r="E6" s="38">
        <v>45</v>
      </c>
      <c r="F6" s="38">
        <v>80</v>
      </c>
      <c r="G6" s="38">
        <v>38</v>
      </c>
      <c r="H6" s="38">
        <f t="shared" ref="H6:H25" si="0">E6+F6-G6</f>
        <v>87</v>
      </c>
      <c r="I6" s="38">
        <v>82</v>
      </c>
      <c r="J6" s="38">
        <f t="shared" ref="J6:J25" si="1">H6-I6</f>
        <v>5</v>
      </c>
      <c r="K6" s="41">
        <f t="shared" ref="K6:K25" si="2">IFERROR(J6/I6,0)</f>
        <v>6.097560975609756E-2</v>
      </c>
      <c r="L6" s="40">
        <v>4.5</v>
      </c>
      <c r="M6" s="40">
        <f t="shared" ref="M6:M25" si="3">J6*L6</f>
        <v>22.5</v>
      </c>
    </row>
    <row r="7" spans="2:13" ht="15" customHeight="1" x14ac:dyDescent="0.25">
      <c r="B7" s="38" t="s">
        <v>114</v>
      </c>
      <c r="C7" s="38" t="s">
        <v>112</v>
      </c>
      <c r="D7" s="38" t="s">
        <v>113</v>
      </c>
      <c r="E7" s="38">
        <v>30</v>
      </c>
      <c r="F7" s="38">
        <v>60</v>
      </c>
      <c r="G7" s="38">
        <v>28</v>
      </c>
      <c r="H7" s="38">
        <f t="shared" si="0"/>
        <v>62</v>
      </c>
      <c r="I7" s="38">
        <v>58</v>
      </c>
      <c r="J7" s="38">
        <f t="shared" si="1"/>
        <v>4</v>
      </c>
      <c r="K7" s="41">
        <f t="shared" si="2"/>
        <v>6.8965517241379309E-2</v>
      </c>
      <c r="L7" s="40">
        <v>3.25</v>
      </c>
      <c r="M7" s="40">
        <f t="shared" si="3"/>
        <v>13</v>
      </c>
    </row>
    <row r="8" spans="2:13" ht="15" customHeight="1" x14ac:dyDescent="0.25">
      <c r="B8" s="38" t="s">
        <v>115</v>
      </c>
      <c r="C8" s="38" t="s">
        <v>112</v>
      </c>
      <c r="D8" s="38" t="s">
        <v>113</v>
      </c>
      <c r="E8" s="38">
        <v>20</v>
      </c>
      <c r="F8" s="38">
        <v>40</v>
      </c>
      <c r="G8" s="38">
        <v>18</v>
      </c>
      <c r="H8" s="38">
        <f t="shared" si="0"/>
        <v>42</v>
      </c>
      <c r="I8" s="38">
        <v>38</v>
      </c>
      <c r="J8" s="38">
        <f t="shared" si="1"/>
        <v>4</v>
      </c>
      <c r="K8" s="41">
        <f t="shared" si="2"/>
        <v>0.10526315789473684</v>
      </c>
      <c r="L8" s="40">
        <v>12</v>
      </c>
      <c r="M8" s="40">
        <f t="shared" si="3"/>
        <v>48</v>
      </c>
    </row>
    <row r="9" spans="2:13" ht="15" customHeight="1" x14ac:dyDescent="0.25">
      <c r="B9" s="38" t="s">
        <v>116</v>
      </c>
      <c r="C9" s="38" t="s">
        <v>112</v>
      </c>
      <c r="D9" s="38" t="s">
        <v>113</v>
      </c>
      <c r="E9" s="38">
        <v>15</v>
      </c>
      <c r="F9" s="38">
        <v>25</v>
      </c>
      <c r="G9" s="38">
        <v>12</v>
      </c>
      <c r="H9" s="38">
        <f t="shared" si="0"/>
        <v>28</v>
      </c>
      <c r="I9" s="38">
        <v>24</v>
      </c>
      <c r="J9" s="38">
        <f t="shared" si="1"/>
        <v>4</v>
      </c>
      <c r="K9" s="41">
        <f t="shared" si="2"/>
        <v>0.16666666666666666</v>
      </c>
      <c r="L9" s="40">
        <v>9.5</v>
      </c>
      <c r="M9" s="40">
        <f t="shared" si="3"/>
        <v>38</v>
      </c>
    </row>
    <row r="10" spans="2:13" ht="15" customHeight="1" x14ac:dyDescent="0.25">
      <c r="B10" s="38" t="s">
        <v>117</v>
      </c>
      <c r="C10" s="38" t="s">
        <v>112</v>
      </c>
      <c r="D10" s="38" t="s">
        <v>113</v>
      </c>
      <c r="E10" s="38">
        <v>12</v>
      </c>
      <c r="F10" s="38">
        <v>20</v>
      </c>
      <c r="G10" s="38">
        <v>10</v>
      </c>
      <c r="H10" s="38">
        <f t="shared" si="0"/>
        <v>22</v>
      </c>
      <c r="I10" s="38">
        <v>19</v>
      </c>
      <c r="J10" s="38">
        <f t="shared" si="1"/>
        <v>3</v>
      </c>
      <c r="K10" s="41">
        <f t="shared" si="2"/>
        <v>0.15789473684210525</v>
      </c>
      <c r="L10" s="40">
        <v>6</v>
      </c>
      <c r="M10" s="40">
        <f t="shared" si="3"/>
        <v>18</v>
      </c>
    </row>
    <row r="11" spans="2:13" ht="15" customHeight="1" x14ac:dyDescent="0.25">
      <c r="B11" s="38" t="s">
        <v>118</v>
      </c>
      <c r="C11" s="38" t="s">
        <v>40</v>
      </c>
      <c r="D11" s="38" t="s">
        <v>119</v>
      </c>
      <c r="E11" s="38">
        <v>40</v>
      </c>
      <c r="F11" s="38">
        <v>75</v>
      </c>
      <c r="G11" s="38">
        <v>32</v>
      </c>
      <c r="H11" s="38">
        <f t="shared" si="0"/>
        <v>83</v>
      </c>
      <c r="I11" s="38">
        <v>78</v>
      </c>
      <c r="J11" s="38">
        <f t="shared" si="1"/>
        <v>5</v>
      </c>
      <c r="K11" s="41">
        <f t="shared" si="2"/>
        <v>6.4102564102564097E-2</v>
      </c>
      <c r="L11" s="40">
        <v>1.5</v>
      </c>
      <c r="M11" s="40">
        <f t="shared" si="3"/>
        <v>7.5</v>
      </c>
    </row>
    <row r="12" spans="2:13" ht="15" customHeight="1" x14ac:dyDescent="0.25">
      <c r="B12" s="38" t="s">
        <v>120</v>
      </c>
      <c r="C12" s="38" t="s">
        <v>40</v>
      </c>
      <c r="D12" s="38" t="s">
        <v>113</v>
      </c>
      <c r="E12" s="38">
        <v>25</v>
      </c>
      <c r="F12" s="38">
        <v>50</v>
      </c>
      <c r="G12" s="38">
        <v>20</v>
      </c>
      <c r="H12" s="38">
        <f t="shared" si="0"/>
        <v>55</v>
      </c>
      <c r="I12" s="38">
        <v>52</v>
      </c>
      <c r="J12" s="38">
        <f t="shared" si="1"/>
        <v>3</v>
      </c>
      <c r="K12" s="41">
        <f t="shared" si="2"/>
        <v>5.7692307692307696E-2</v>
      </c>
      <c r="L12" s="40">
        <v>2</v>
      </c>
      <c r="M12" s="40">
        <f t="shared" si="3"/>
        <v>6</v>
      </c>
    </row>
    <row r="13" spans="2:13" ht="15" customHeight="1" x14ac:dyDescent="0.25">
      <c r="B13" s="38" t="s">
        <v>121</v>
      </c>
      <c r="C13" s="38" t="s">
        <v>40</v>
      </c>
      <c r="D13" s="38" t="s">
        <v>113</v>
      </c>
      <c r="E13" s="38">
        <v>30</v>
      </c>
      <c r="F13" s="38">
        <v>40</v>
      </c>
      <c r="G13" s="38">
        <v>28</v>
      </c>
      <c r="H13" s="38">
        <f t="shared" si="0"/>
        <v>42</v>
      </c>
      <c r="I13" s="38">
        <v>38</v>
      </c>
      <c r="J13" s="38">
        <f t="shared" si="1"/>
        <v>4</v>
      </c>
      <c r="K13" s="41">
        <f t="shared" si="2"/>
        <v>0.10526315789473684</v>
      </c>
      <c r="L13" s="40">
        <v>0.75</v>
      </c>
      <c r="M13" s="40">
        <f t="shared" si="3"/>
        <v>3</v>
      </c>
    </row>
    <row r="14" spans="2:13" ht="15" customHeight="1" x14ac:dyDescent="0.25">
      <c r="B14" s="38" t="s">
        <v>122</v>
      </c>
      <c r="C14" s="38" t="s">
        <v>40</v>
      </c>
      <c r="D14" s="38" t="s">
        <v>113</v>
      </c>
      <c r="E14" s="38">
        <v>60</v>
      </c>
      <c r="F14" s="38">
        <v>100</v>
      </c>
      <c r="G14" s="38">
        <v>55</v>
      </c>
      <c r="H14" s="38">
        <f t="shared" si="0"/>
        <v>105</v>
      </c>
      <c r="I14" s="38">
        <v>98</v>
      </c>
      <c r="J14" s="38">
        <f t="shared" si="1"/>
        <v>7</v>
      </c>
      <c r="K14" s="41">
        <f t="shared" si="2"/>
        <v>7.1428571428571425E-2</v>
      </c>
      <c r="L14" s="40">
        <v>0.5</v>
      </c>
      <c r="M14" s="40">
        <f t="shared" si="3"/>
        <v>3.5</v>
      </c>
    </row>
    <row r="15" spans="2:13" ht="15" customHeight="1" x14ac:dyDescent="0.25">
      <c r="B15" s="38" t="s">
        <v>123</v>
      </c>
      <c r="C15" s="38" t="s">
        <v>40</v>
      </c>
      <c r="D15" s="38" t="s">
        <v>124</v>
      </c>
      <c r="E15" s="38">
        <v>35</v>
      </c>
      <c r="F15" s="38">
        <v>60</v>
      </c>
      <c r="G15" s="38">
        <v>28</v>
      </c>
      <c r="H15" s="38">
        <f t="shared" si="0"/>
        <v>67</v>
      </c>
      <c r="I15" s="38">
        <v>62</v>
      </c>
      <c r="J15" s="38">
        <f t="shared" si="1"/>
        <v>5</v>
      </c>
      <c r="K15" s="41">
        <f t="shared" si="2"/>
        <v>8.0645161290322578E-2</v>
      </c>
      <c r="L15" s="40">
        <v>1.25</v>
      </c>
      <c r="M15" s="40">
        <f t="shared" si="3"/>
        <v>6.25</v>
      </c>
    </row>
    <row r="16" spans="2:13" ht="15" customHeight="1" x14ac:dyDescent="0.25">
      <c r="B16" s="38" t="s">
        <v>125</v>
      </c>
      <c r="C16" s="38" t="s">
        <v>126</v>
      </c>
      <c r="D16" s="38" t="s">
        <v>124</v>
      </c>
      <c r="E16" s="38">
        <v>100</v>
      </c>
      <c r="F16" s="38">
        <v>200</v>
      </c>
      <c r="G16" s="38">
        <v>85</v>
      </c>
      <c r="H16" s="38">
        <f t="shared" si="0"/>
        <v>215</v>
      </c>
      <c r="I16" s="38">
        <v>195</v>
      </c>
      <c r="J16" s="38">
        <f t="shared" si="1"/>
        <v>20</v>
      </c>
      <c r="K16" s="41">
        <f t="shared" si="2"/>
        <v>0.10256410256410256</v>
      </c>
      <c r="L16" s="40">
        <v>0.35</v>
      </c>
      <c r="M16" s="40">
        <f t="shared" si="3"/>
        <v>7</v>
      </c>
    </row>
    <row r="17" spans="2:13" ht="15" customHeight="1" x14ac:dyDescent="0.25">
      <c r="B17" s="38" t="s">
        <v>127</v>
      </c>
      <c r="C17" s="38" t="s">
        <v>126</v>
      </c>
      <c r="D17" s="38" t="s">
        <v>124</v>
      </c>
      <c r="E17" s="38">
        <v>20</v>
      </c>
      <c r="F17" s="38">
        <v>35</v>
      </c>
      <c r="G17" s="38">
        <v>15</v>
      </c>
      <c r="H17" s="38">
        <f t="shared" si="0"/>
        <v>40</v>
      </c>
      <c r="I17" s="38">
        <v>36</v>
      </c>
      <c r="J17" s="38">
        <f t="shared" si="1"/>
        <v>4</v>
      </c>
      <c r="K17" s="41">
        <f t="shared" si="2"/>
        <v>0.1111111111111111</v>
      </c>
      <c r="L17" s="40">
        <v>2.5</v>
      </c>
      <c r="M17" s="40">
        <f t="shared" si="3"/>
        <v>10</v>
      </c>
    </row>
    <row r="18" spans="2:13" ht="15" customHeight="1" x14ac:dyDescent="0.25">
      <c r="B18" s="38" t="s">
        <v>128</v>
      </c>
      <c r="C18" s="38" t="s">
        <v>126</v>
      </c>
      <c r="D18" s="38" t="s">
        <v>124</v>
      </c>
      <c r="E18" s="38">
        <v>80</v>
      </c>
      <c r="F18" s="38">
        <v>150</v>
      </c>
      <c r="G18" s="38">
        <v>70</v>
      </c>
      <c r="H18" s="38">
        <f t="shared" si="0"/>
        <v>160</v>
      </c>
      <c r="I18" s="38">
        <v>148</v>
      </c>
      <c r="J18" s="38">
        <f t="shared" si="1"/>
        <v>12</v>
      </c>
      <c r="K18" s="41">
        <f t="shared" si="2"/>
        <v>8.1081081081081086E-2</v>
      </c>
      <c r="L18" s="40">
        <v>0.25</v>
      </c>
      <c r="M18" s="40">
        <f t="shared" si="3"/>
        <v>3</v>
      </c>
    </row>
    <row r="19" spans="2:13" ht="15" customHeight="1" x14ac:dyDescent="0.25">
      <c r="B19" s="38" t="s">
        <v>129</v>
      </c>
      <c r="C19" s="38" t="s">
        <v>130</v>
      </c>
      <c r="D19" s="38" t="s">
        <v>113</v>
      </c>
      <c r="E19" s="38">
        <v>18</v>
      </c>
      <c r="F19" s="38">
        <v>30</v>
      </c>
      <c r="G19" s="38">
        <v>15</v>
      </c>
      <c r="H19" s="38">
        <f t="shared" si="0"/>
        <v>33</v>
      </c>
      <c r="I19" s="38">
        <v>28</v>
      </c>
      <c r="J19" s="38">
        <f t="shared" si="1"/>
        <v>5</v>
      </c>
      <c r="K19" s="41">
        <f t="shared" si="2"/>
        <v>0.17857142857142858</v>
      </c>
      <c r="L19" s="40">
        <v>5</v>
      </c>
      <c r="M19" s="40">
        <f t="shared" si="3"/>
        <v>25</v>
      </c>
    </row>
    <row r="20" spans="2:13" ht="15" customHeight="1" x14ac:dyDescent="0.25">
      <c r="B20" s="38" t="s">
        <v>131</v>
      </c>
      <c r="C20" s="38" t="s">
        <v>130</v>
      </c>
      <c r="D20" s="38" t="s">
        <v>113</v>
      </c>
      <c r="E20" s="38">
        <v>15</v>
      </c>
      <c r="F20" s="38">
        <v>25</v>
      </c>
      <c r="G20" s="38">
        <v>12</v>
      </c>
      <c r="H20" s="38">
        <f t="shared" si="0"/>
        <v>28</v>
      </c>
      <c r="I20" s="38">
        <v>24</v>
      </c>
      <c r="J20" s="38">
        <f t="shared" si="1"/>
        <v>4</v>
      </c>
      <c r="K20" s="41">
        <f t="shared" si="2"/>
        <v>0.16666666666666666</v>
      </c>
      <c r="L20" s="40">
        <v>4.5</v>
      </c>
      <c r="M20" s="40">
        <f t="shared" si="3"/>
        <v>18</v>
      </c>
    </row>
    <row r="21" spans="2:13" ht="15" customHeight="1" x14ac:dyDescent="0.25">
      <c r="B21" s="38" t="s">
        <v>132</v>
      </c>
      <c r="C21" s="38" t="s">
        <v>130</v>
      </c>
      <c r="D21" s="38" t="s">
        <v>133</v>
      </c>
      <c r="E21" s="38">
        <v>10</v>
      </c>
      <c r="F21" s="38">
        <v>20</v>
      </c>
      <c r="G21" s="38">
        <v>8</v>
      </c>
      <c r="H21" s="38">
        <f t="shared" si="0"/>
        <v>22</v>
      </c>
      <c r="I21" s="38">
        <v>18</v>
      </c>
      <c r="J21" s="38">
        <f t="shared" si="1"/>
        <v>4</v>
      </c>
      <c r="K21" s="41">
        <f t="shared" si="2"/>
        <v>0.22222222222222221</v>
      </c>
      <c r="L21" s="40">
        <v>3</v>
      </c>
      <c r="M21" s="40">
        <f t="shared" si="3"/>
        <v>12</v>
      </c>
    </row>
    <row r="22" spans="2:13" ht="15" customHeight="1" x14ac:dyDescent="0.25">
      <c r="B22" s="38" t="s">
        <v>134</v>
      </c>
      <c r="C22" s="38" t="s">
        <v>130</v>
      </c>
      <c r="D22" s="38" t="s">
        <v>113</v>
      </c>
      <c r="E22" s="38">
        <v>12</v>
      </c>
      <c r="F22" s="38">
        <v>20</v>
      </c>
      <c r="G22" s="38">
        <v>10</v>
      </c>
      <c r="H22" s="38">
        <f t="shared" si="0"/>
        <v>22</v>
      </c>
      <c r="I22" s="38">
        <v>18</v>
      </c>
      <c r="J22" s="38">
        <f t="shared" si="1"/>
        <v>4</v>
      </c>
      <c r="K22" s="41">
        <f t="shared" si="2"/>
        <v>0.22222222222222221</v>
      </c>
      <c r="L22" s="40">
        <v>4</v>
      </c>
      <c r="M22" s="40">
        <f t="shared" si="3"/>
        <v>16</v>
      </c>
    </row>
    <row r="23" spans="2:13" ht="15" customHeight="1" x14ac:dyDescent="0.25">
      <c r="B23" s="38" t="s">
        <v>135</v>
      </c>
      <c r="C23" s="38" t="s">
        <v>136</v>
      </c>
      <c r="D23" s="38" t="s">
        <v>113</v>
      </c>
      <c r="E23" s="38">
        <v>50</v>
      </c>
      <c r="F23" s="38">
        <v>100</v>
      </c>
      <c r="G23" s="38">
        <v>42</v>
      </c>
      <c r="H23" s="38">
        <f t="shared" si="0"/>
        <v>108</v>
      </c>
      <c r="I23" s="38">
        <v>95</v>
      </c>
      <c r="J23" s="38">
        <f t="shared" si="1"/>
        <v>13</v>
      </c>
      <c r="K23" s="41">
        <f t="shared" si="2"/>
        <v>0.1368421052631579</v>
      </c>
      <c r="L23" s="40">
        <v>1.25</v>
      </c>
      <c r="M23" s="40">
        <f t="shared" si="3"/>
        <v>16.25</v>
      </c>
    </row>
    <row r="24" spans="2:13" ht="15" customHeight="1" x14ac:dyDescent="0.25">
      <c r="B24" s="38" t="s">
        <v>137</v>
      </c>
      <c r="C24" s="38" t="s">
        <v>136</v>
      </c>
      <c r="D24" s="38" t="s">
        <v>138</v>
      </c>
      <c r="E24" s="38">
        <v>8</v>
      </c>
      <c r="F24" s="38">
        <v>15</v>
      </c>
      <c r="G24" s="38">
        <v>6</v>
      </c>
      <c r="H24" s="38">
        <f t="shared" si="0"/>
        <v>17</v>
      </c>
      <c r="I24" s="38">
        <v>14</v>
      </c>
      <c r="J24" s="38">
        <f t="shared" si="1"/>
        <v>3</v>
      </c>
      <c r="K24" s="41">
        <f t="shared" si="2"/>
        <v>0.21428571428571427</v>
      </c>
      <c r="L24" s="40">
        <v>8</v>
      </c>
      <c r="M24" s="40">
        <f t="shared" si="3"/>
        <v>24</v>
      </c>
    </row>
    <row r="25" spans="2:13" ht="15" customHeight="1" x14ac:dyDescent="0.25">
      <c r="B25" s="38" t="s">
        <v>139</v>
      </c>
      <c r="C25" s="38" t="s">
        <v>140</v>
      </c>
      <c r="D25" s="38" t="s">
        <v>141</v>
      </c>
      <c r="E25" s="38">
        <v>6</v>
      </c>
      <c r="F25" s="38">
        <v>10</v>
      </c>
      <c r="G25" s="38">
        <v>5</v>
      </c>
      <c r="H25" s="38">
        <f t="shared" si="0"/>
        <v>11</v>
      </c>
      <c r="I25" s="38">
        <v>9</v>
      </c>
      <c r="J25" s="38">
        <f t="shared" si="1"/>
        <v>2</v>
      </c>
      <c r="K25" s="41">
        <f t="shared" si="2"/>
        <v>0.22222222222222221</v>
      </c>
      <c r="L25" s="40">
        <v>12</v>
      </c>
      <c r="M25" s="40">
        <f t="shared" si="3"/>
        <v>24</v>
      </c>
    </row>
    <row r="26" spans="2:13" ht="15" customHeight="1" x14ac:dyDescent="0.25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40"/>
      <c r="M26" s="40"/>
    </row>
    <row r="27" spans="2:13" ht="15" customHeight="1" x14ac:dyDescent="0.25">
      <c r="B27" s="27" t="s">
        <v>92</v>
      </c>
      <c r="C27" s="27"/>
      <c r="D27" s="27"/>
      <c r="E27" s="27">
        <f t="shared" ref="E27:J27" si="4">SUM(E6:E25)</f>
        <v>631</v>
      </c>
      <c r="F27" s="27">
        <f t="shared" si="4"/>
        <v>1155</v>
      </c>
      <c r="G27" s="27">
        <f t="shared" si="4"/>
        <v>537</v>
      </c>
      <c r="H27" s="27">
        <f t="shared" si="4"/>
        <v>1249</v>
      </c>
      <c r="I27" s="27">
        <f t="shared" si="4"/>
        <v>1134</v>
      </c>
      <c r="J27" s="27">
        <f t="shared" si="4"/>
        <v>115</v>
      </c>
      <c r="K27" s="47">
        <f>J27/I27</f>
        <v>0.10141093474426807</v>
      </c>
      <c r="L27" s="55"/>
      <c r="M27" s="55">
        <f>SUM(M6:M25)</f>
        <v>321</v>
      </c>
    </row>
  </sheetData>
  <autoFilter ref="B5:M25" xr:uid="{00000000-0009-0000-0000-000004000000}"/>
  <conditionalFormatting sqref="K6:K25">
    <cfRule type="cellIs" dxfId="14" priority="2" operator="lessThan">
      <formula>0.01</formula>
    </cfRule>
    <cfRule type="cellIs" dxfId="13" priority="3" operator="between">
      <formula>0.01</formula>
      <formula>0.05</formula>
    </cfRule>
    <cfRule type="cellIs" dxfId="12" priority="4" operator="greaterThan">
      <formula>0.05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26"/>
  <sheetViews>
    <sheetView zoomScaleNormal="100" workbookViewId="0">
      <selection activeCell="E12" sqref="E12"/>
    </sheetView>
  </sheetViews>
  <sheetFormatPr defaultColWidth="8.5703125" defaultRowHeight="15" x14ac:dyDescent="0.25"/>
  <cols>
    <col min="1" max="1" width="5.7109375" customWidth="1"/>
    <col min="2" max="2" width="28.5703125" customWidth="1"/>
    <col min="3" max="6" width="24.7109375" customWidth="1"/>
  </cols>
  <sheetData>
    <row r="2" spans="2:6" ht="24" customHeight="1" x14ac:dyDescent="0.4">
      <c r="B2" s="84" t="s">
        <v>142</v>
      </c>
      <c r="C2" s="84"/>
      <c r="D2" s="84"/>
      <c r="E2" s="84"/>
      <c r="F2" s="84"/>
    </row>
    <row r="3" spans="2:6" ht="15" customHeight="1" x14ac:dyDescent="0.25">
      <c r="B3" s="35" t="s">
        <v>143</v>
      </c>
    </row>
    <row r="5" spans="2:6" ht="24.75" customHeight="1" x14ac:dyDescent="0.25">
      <c r="B5" s="19" t="s">
        <v>144</v>
      </c>
      <c r="C5" s="19" t="s">
        <v>145</v>
      </c>
      <c r="D5" s="19" t="s">
        <v>146</v>
      </c>
      <c r="E5" s="19" t="s">
        <v>147</v>
      </c>
      <c r="F5" s="19" t="s">
        <v>148</v>
      </c>
    </row>
    <row r="6" spans="2:6" ht="15" customHeight="1" x14ac:dyDescent="0.25">
      <c r="B6" s="56" t="s">
        <v>30</v>
      </c>
      <c r="C6" s="57" t="s">
        <v>149</v>
      </c>
      <c r="D6" s="58" t="s">
        <v>150</v>
      </c>
      <c r="E6" s="59" t="s">
        <v>151</v>
      </c>
      <c r="F6" s="60" t="s">
        <v>152</v>
      </c>
    </row>
    <row r="7" spans="2:6" ht="15" customHeight="1" x14ac:dyDescent="0.25">
      <c r="B7" s="56" t="s">
        <v>33</v>
      </c>
      <c r="C7" s="57" t="s">
        <v>153</v>
      </c>
      <c r="D7" s="58" t="s">
        <v>154</v>
      </c>
      <c r="E7" s="59" t="s">
        <v>155</v>
      </c>
      <c r="F7" s="60" t="s">
        <v>152</v>
      </c>
    </row>
    <row r="8" spans="2:6" ht="15" customHeight="1" x14ac:dyDescent="0.25">
      <c r="B8" s="56" t="s">
        <v>36</v>
      </c>
      <c r="C8" s="57" t="s">
        <v>156</v>
      </c>
      <c r="D8" s="58" t="s">
        <v>157</v>
      </c>
      <c r="E8" s="59" t="s">
        <v>158</v>
      </c>
      <c r="F8" s="60" t="s">
        <v>159</v>
      </c>
    </row>
    <row r="9" spans="2:6" ht="15" customHeight="1" x14ac:dyDescent="0.25">
      <c r="B9" s="56" t="s">
        <v>95</v>
      </c>
      <c r="C9" s="57" t="s">
        <v>160</v>
      </c>
      <c r="D9" s="58" t="s">
        <v>161</v>
      </c>
      <c r="E9" s="59" t="s">
        <v>162</v>
      </c>
      <c r="F9" s="60" t="s">
        <v>163</v>
      </c>
    </row>
    <row r="10" spans="2:6" ht="15" customHeight="1" x14ac:dyDescent="0.25">
      <c r="B10" s="56" t="s">
        <v>32</v>
      </c>
      <c r="C10" s="57" t="s">
        <v>164</v>
      </c>
      <c r="D10" s="58" t="s">
        <v>165</v>
      </c>
      <c r="E10" s="59" t="s">
        <v>166</v>
      </c>
      <c r="F10" s="60" t="s">
        <v>163</v>
      </c>
    </row>
    <row r="11" spans="2:6" ht="15" customHeight="1" x14ac:dyDescent="0.25">
      <c r="B11" s="56" t="s">
        <v>167</v>
      </c>
      <c r="C11" s="57" t="s">
        <v>168</v>
      </c>
      <c r="D11" s="58" t="s">
        <v>169</v>
      </c>
      <c r="E11" s="59" t="s">
        <v>170</v>
      </c>
      <c r="F11" s="60" t="s">
        <v>171</v>
      </c>
    </row>
    <row r="12" spans="2:6" ht="15" customHeight="1" x14ac:dyDescent="0.25">
      <c r="B12" s="56" t="s">
        <v>172</v>
      </c>
      <c r="C12" s="57" t="s">
        <v>163</v>
      </c>
      <c r="D12" s="58" t="s">
        <v>173</v>
      </c>
      <c r="E12" s="59" t="s">
        <v>174</v>
      </c>
      <c r="F12" s="60" t="s">
        <v>175</v>
      </c>
    </row>
    <row r="13" spans="2:6" ht="15" customHeight="1" x14ac:dyDescent="0.25">
      <c r="B13" s="56" t="s">
        <v>37</v>
      </c>
      <c r="C13" s="57" t="s">
        <v>176</v>
      </c>
      <c r="D13" s="58" t="s">
        <v>177</v>
      </c>
      <c r="E13" s="59" t="s">
        <v>178</v>
      </c>
      <c r="F13" s="60" t="s">
        <v>179</v>
      </c>
    </row>
    <row r="14" spans="2:6" ht="15" customHeight="1" x14ac:dyDescent="0.25">
      <c r="B14" s="56" t="s">
        <v>62</v>
      </c>
      <c r="C14" s="57" t="s">
        <v>180</v>
      </c>
      <c r="D14" s="58" t="s">
        <v>181</v>
      </c>
      <c r="E14" s="59" t="s">
        <v>182</v>
      </c>
      <c r="F14" s="60" t="s">
        <v>183</v>
      </c>
    </row>
    <row r="15" spans="2:6" ht="15" customHeight="1" x14ac:dyDescent="0.25">
      <c r="B15" s="56" t="s">
        <v>64</v>
      </c>
      <c r="C15" s="57" t="s">
        <v>65</v>
      </c>
      <c r="D15" s="58" t="s">
        <v>184</v>
      </c>
      <c r="E15" s="59" t="s">
        <v>185</v>
      </c>
      <c r="F15" s="60" t="s">
        <v>186</v>
      </c>
    </row>
    <row r="18" spans="2:5" ht="18.75" customHeight="1" x14ac:dyDescent="0.3">
      <c r="B18" s="61" t="s">
        <v>187</v>
      </c>
    </row>
    <row r="20" spans="2:5" ht="15" customHeight="1" x14ac:dyDescent="0.25">
      <c r="B20" s="19" t="s">
        <v>144</v>
      </c>
      <c r="C20" s="19" t="s">
        <v>188</v>
      </c>
      <c r="D20" s="19" t="s">
        <v>189</v>
      </c>
      <c r="E20" s="19" t="s">
        <v>190</v>
      </c>
    </row>
    <row r="21" spans="2:5" ht="15" customHeight="1" x14ac:dyDescent="0.25">
      <c r="B21" s="20" t="s">
        <v>30</v>
      </c>
      <c r="C21" s="62">
        <v>0.28000000000000003</v>
      </c>
      <c r="D21" s="62">
        <v>0.33</v>
      </c>
      <c r="E21" s="62">
        <v>0.35</v>
      </c>
    </row>
    <row r="22" spans="2:5" ht="15" customHeight="1" x14ac:dyDescent="0.25">
      <c r="B22" s="20" t="s">
        <v>33</v>
      </c>
      <c r="C22" s="62">
        <v>0.25</v>
      </c>
      <c r="D22" s="62">
        <v>0.31</v>
      </c>
      <c r="E22" s="62">
        <v>0.35</v>
      </c>
    </row>
    <row r="23" spans="2:5" ht="15" customHeight="1" x14ac:dyDescent="0.25">
      <c r="B23" s="20" t="s">
        <v>36</v>
      </c>
      <c r="C23" s="62">
        <v>0.6</v>
      </c>
      <c r="D23" s="62">
        <v>0.66</v>
      </c>
      <c r="E23" s="62">
        <v>0.7</v>
      </c>
    </row>
    <row r="24" spans="2:5" ht="15" customHeight="1" x14ac:dyDescent="0.25">
      <c r="B24" s="20" t="s">
        <v>95</v>
      </c>
      <c r="C24" s="62">
        <v>0.02</v>
      </c>
      <c r="D24" s="62">
        <v>0.04</v>
      </c>
      <c r="E24" s="62">
        <v>0.05</v>
      </c>
    </row>
    <row r="25" spans="2:5" ht="15" customHeight="1" x14ac:dyDescent="0.25">
      <c r="B25" s="20" t="s">
        <v>32</v>
      </c>
      <c r="C25" s="62">
        <v>0.01</v>
      </c>
      <c r="D25" s="62">
        <v>0.03</v>
      </c>
      <c r="E25" s="62">
        <v>0.05</v>
      </c>
    </row>
    <row r="26" spans="2:5" ht="15" customHeight="1" x14ac:dyDescent="0.25">
      <c r="B26" s="20" t="s">
        <v>167</v>
      </c>
      <c r="C26" s="62">
        <v>0.15</v>
      </c>
      <c r="D26" s="62">
        <v>0.1</v>
      </c>
      <c r="E26" s="62">
        <v>0.05</v>
      </c>
    </row>
  </sheetData>
  <mergeCells count="1">
    <mergeCell ref="B2:F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12"/>
  <sheetViews>
    <sheetView zoomScaleNormal="100" workbookViewId="0">
      <pane ySplit="5" topLeftCell="A6" activePane="bottomLeft" state="frozen"/>
      <selection pane="bottomLeft" activeCell="L17" sqref="L17"/>
    </sheetView>
  </sheetViews>
  <sheetFormatPr defaultColWidth="8.5703125" defaultRowHeight="15" x14ac:dyDescent="0.25"/>
  <cols>
    <col min="1" max="1" width="3.85546875" customWidth="1"/>
    <col min="2" max="2" width="13.28515625" customWidth="1"/>
    <col min="3" max="3" width="18.140625" customWidth="1"/>
    <col min="4" max="13" width="17.140625" customWidth="1"/>
  </cols>
  <sheetData>
    <row r="2" spans="2:13" ht="24" customHeight="1" x14ac:dyDescent="0.4">
      <c r="B2" s="34" t="s">
        <v>191</v>
      </c>
    </row>
    <row r="3" spans="2:13" ht="15" customHeight="1" x14ac:dyDescent="0.25">
      <c r="B3" s="35" t="s">
        <v>192</v>
      </c>
    </row>
    <row r="5" spans="2:13" ht="27.75" customHeight="1" x14ac:dyDescent="0.25">
      <c r="B5" s="36" t="s">
        <v>193</v>
      </c>
      <c r="C5" s="36" t="s">
        <v>194</v>
      </c>
      <c r="D5" s="36" t="s">
        <v>77</v>
      </c>
      <c r="E5" s="36" t="s">
        <v>70</v>
      </c>
      <c r="F5" s="36" t="s">
        <v>30</v>
      </c>
      <c r="G5" s="36" t="s">
        <v>71</v>
      </c>
      <c r="H5" s="36" t="s">
        <v>33</v>
      </c>
      <c r="I5" s="36" t="s">
        <v>83</v>
      </c>
      <c r="J5" s="36" t="s">
        <v>36</v>
      </c>
      <c r="K5" s="36" t="s">
        <v>42</v>
      </c>
      <c r="L5" s="36" t="s">
        <v>195</v>
      </c>
      <c r="M5" s="36" t="s">
        <v>167</v>
      </c>
    </row>
    <row r="6" spans="2:13" ht="15" customHeight="1" x14ac:dyDescent="0.25">
      <c r="B6" s="38" t="s">
        <v>196</v>
      </c>
      <c r="C6" s="37">
        <v>46142</v>
      </c>
      <c r="D6" s="39">
        <f>SUM('Daily Sales Tracker'!D6:D12)</f>
        <v>50376</v>
      </c>
      <c r="E6" s="39">
        <f>SUM('Daily Sales Tracker'!L6:L12)</f>
        <v>11454</v>
      </c>
      <c r="F6" s="41">
        <f>E6/D6</f>
        <v>0.22737017627441639</v>
      </c>
      <c r="G6" s="39">
        <f>SUM('Daily Sales Tracker'!K6:K12)</f>
        <v>14749</v>
      </c>
      <c r="H6" s="41">
        <f>G6/D6</f>
        <v>0.29277830713037956</v>
      </c>
      <c r="I6" s="39">
        <f>E6+G6</f>
        <v>26203</v>
      </c>
      <c r="J6" s="41">
        <f>I6/D6</f>
        <v>0.52014848340479591</v>
      </c>
      <c r="K6" s="39">
        <f>SUM('Food Cost Tracker'!F6:F12)</f>
        <v>896</v>
      </c>
      <c r="L6" s="39">
        <f>D6-I6-D6*0.08</f>
        <v>20142.919999999998</v>
      </c>
      <c r="M6" s="41">
        <f>L6/D6</f>
        <v>0.39985151659520402</v>
      </c>
    </row>
    <row r="7" spans="2:13" ht="15" customHeight="1" x14ac:dyDescent="0.25">
      <c r="B7" s="38" t="s">
        <v>197</v>
      </c>
      <c r="C7" s="37">
        <v>46149</v>
      </c>
      <c r="D7" s="39">
        <f>SUM('Daily Sales Tracker'!D13:D19)</f>
        <v>47957</v>
      </c>
      <c r="E7" s="39">
        <f>SUM('Daily Sales Tracker'!L13:L19)</f>
        <v>10523</v>
      </c>
      <c r="F7" s="41">
        <f>E7/D7</f>
        <v>0.21942573555476783</v>
      </c>
      <c r="G7" s="39">
        <f>SUM('Daily Sales Tracker'!K13:K19)</f>
        <v>13586</v>
      </c>
      <c r="H7" s="41">
        <f>G7/D7</f>
        <v>0.28329545217590757</v>
      </c>
      <c r="I7" s="39">
        <f>E7+G7</f>
        <v>24109</v>
      </c>
      <c r="J7" s="41">
        <f>I7/D7</f>
        <v>0.50272118773067542</v>
      </c>
      <c r="K7" s="39">
        <f>SUM('Food Cost Tracker'!F13:F19)</f>
        <v>892</v>
      </c>
      <c r="L7" s="39">
        <f>D7-I7-D7*0.08</f>
        <v>20011.439999999999</v>
      </c>
      <c r="M7" s="41">
        <f>L7/D7</f>
        <v>0.41727881226932456</v>
      </c>
    </row>
    <row r="8" spans="2:13" ht="15" customHeight="1" x14ac:dyDescent="0.25">
      <c r="B8" s="38" t="s">
        <v>198</v>
      </c>
      <c r="C8" s="37">
        <v>46156</v>
      </c>
      <c r="D8" s="39">
        <f>SUM('Daily Sales Tracker'!D20:D26)</f>
        <v>44788</v>
      </c>
      <c r="E8" s="39">
        <f>SUM('Daily Sales Tracker'!L20:L26)</f>
        <v>10027</v>
      </c>
      <c r="F8" s="41">
        <f>E8/D8</f>
        <v>0.22387693132088951</v>
      </c>
      <c r="G8" s="39">
        <f>SUM('Daily Sales Tracker'!K20:K26)</f>
        <v>12573</v>
      </c>
      <c r="H8" s="41">
        <f>G8/D8</f>
        <v>0.28072251495936412</v>
      </c>
      <c r="I8" s="39">
        <f>E8+G8</f>
        <v>22600</v>
      </c>
      <c r="J8" s="41">
        <f>I8/D8</f>
        <v>0.50459944628025366</v>
      </c>
      <c r="K8" s="39">
        <f>SUM('Food Cost Tracker'!F20:F26)</f>
        <v>902</v>
      </c>
      <c r="L8" s="39">
        <f>D8-I8-D8*0.08</f>
        <v>18604.96</v>
      </c>
      <c r="M8" s="41">
        <f>L8/D8</f>
        <v>0.41540055371974632</v>
      </c>
    </row>
    <row r="9" spans="2:13" ht="15" customHeight="1" x14ac:dyDescent="0.25">
      <c r="B9" s="38" t="s">
        <v>199</v>
      </c>
      <c r="C9" s="37">
        <v>46163</v>
      </c>
      <c r="D9" s="39">
        <f>SUM('Daily Sales Tracker'!D27:D33)</f>
        <v>45444</v>
      </c>
      <c r="E9" s="39">
        <f>SUM('Daily Sales Tracker'!L27:L33)</f>
        <v>10136</v>
      </c>
      <c r="F9" s="41">
        <f>E9/D9</f>
        <v>0.2230437461491066</v>
      </c>
      <c r="G9" s="39">
        <f>SUM('Daily Sales Tracker'!K27:K33)</f>
        <v>13264</v>
      </c>
      <c r="H9" s="41">
        <f>G9/D9</f>
        <v>0.29187571516591848</v>
      </c>
      <c r="I9" s="39">
        <f>E9+G9</f>
        <v>23400</v>
      </c>
      <c r="J9" s="41">
        <f>I9/D9</f>
        <v>0.51491946131502508</v>
      </c>
      <c r="K9" s="39">
        <f>SUM('Food Cost Tracker'!F27:F33)</f>
        <v>860</v>
      </c>
      <c r="L9" s="39">
        <f>D9-I9-D9*0.08</f>
        <v>18408.48</v>
      </c>
      <c r="M9" s="41">
        <f>L9/D9</f>
        <v>0.4050805386849749</v>
      </c>
    </row>
    <row r="10" spans="2:13" ht="15" customHeight="1" x14ac:dyDescent="0.25">
      <c r="B10" s="38" t="s">
        <v>200</v>
      </c>
      <c r="C10" s="37">
        <v>46170</v>
      </c>
      <c r="D10" s="39">
        <f>SUM('Daily Sales Tracker'!D34:D35)</f>
        <v>17116</v>
      </c>
      <c r="E10" s="39">
        <f>SUM('Daily Sales Tracker'!L34:L35)</f>
        <v>3928</v>
      </c>
      <c r="F10" s="41">
        <f>E10/D10</f>
        <v>0.22949287216639402</v>
      </c>
      <c r="G10" s="39">
        <f>SUM('Daily Sales Tracker'!K34:K35)</f>
        <v>5225</v>
      </c>
      <c r="H10" s="41">
        <f>G10/D10</f>
        <v>0.30526992287917737</v>
      </c>
      <c r="I10" s="39">
        <f>E10+G10</f>
        <v>9153</v>
      </c>
      <c r="J10" s="41">
        <f>I10/D10</f>
        <v>0.53476279504557145</v>
      </c>
      <c r="K10" s="39">
        <f>SUM('Food Cost Tracker'!F34:F35)</f>
        <v>240</v>
      </c>
      <c r="L10" s="39">
        <f>D10-I10-D10*0.08</f>
        <v>6593.72</v>
      </c>
      <c r="M10" s="41">
        <f>L10/D10</f>
        <v>0.38523720495442865</v>
      </c>
    </row>
    <row r="11" spans="2:13" ht="15" customHeight="1" x14ac:dyDescent="0.25">
      <c r="B11" s="38"/>
      <c r="C11" s="38"/>
      <c r="D11" s="39"/>
      <c r="E11" s="39"/>
      <c r="F11" s="41"/>
      <c r="G11" s="39"/>
      <c r="H11" s="41"/>
      <c r="I11" s="39"/>
      <c r="J11" s="41"/>
      <c r="K11" s="39"/>
      <c r="L11" s="39"/>
      <c r="M11" s="41"/>
    </row>
    <row r="12" spans="2:13" ht="15" customHeight="1" x14ac:dyDescent="0.25">
      <c r="B12" s="27" t="s">
        <v>92</v>
      </c>
      <c r="C12" s="27"/>
      <c r="D12" s="54">
        <f>SUM(D6:D10)</f>
        <v>205681</v>
      </c>
      <c r="E12" s="54">
        <f>SUM(E6:E10)</f>
        <v>46068</v>
      </c>
      <c r="F12" s="47">
        <f>E12/D12</f>
        <v>0.22397790753642777</v>
      </c>
      <c r="G12" s="54">
        <f>SUM(G6:G10)</f>
        <v>59397</v>
      </c>
      <c r="H12" s="47">
        <f>G12/D12</f>
        <v>0.28878214322178519</v>
      </c>
      <c r="I12" s="54">
        <f>SUM(I6:I10)</f>
        <v>105465</v>
      </c>
      <c r="J12" s="47">
        <f>I12/D12</f>
        <v>0.51276005075821296</v>
      </c>
      <c r="K12" s="54">
        <f>SUM(K6:K10)</f>
        <v>3790</v>
      </c>
      <c r="L12" s="54">
        <f>SUM(L6:L10)</f>
        <v>83761.52</v>
      </c>
      <c r="M12" s="47">
        <f>L12/D12</f>
        <v>0.40723994924178708</v>
      </c>
    </row>
  </sheetData>
  <conditionalFormatting sqref="J6:J10">
    <cfRule type="cellIs" dxfId="11" priority="2" operator="lessThan">
      <formula>0.6</formula>
    </cfRule>
    <cfRule type="cellIs" dxfId="10" priority="3" operator="between">
      <formula>0.6</formula>
      <formula>0.7</formula>
    </cfRule>
    <cfRule type="cellIs" dxfId="9" priority="4" operator="greaterThan">
      <formula>0.7</formula>
    </cfRule>
  </conditionalFormatting>
  <conditionalFormatting sqref="M6:M10">
    <cfRule type="cellIs" dxfId="8" priority="5" operator="greaterThan">
      <formula>0.15</formula>
    </cfRule>
    <cfRule type="cellIs" dxfId="7" priority="6" operator="between">
      <formula>0.05</formula>
      <formula>0.15</formula>
    </cfRule>
    <cfRule type="cellIs" dxfId="6" priority="7" operator="lessThan">
      <formula>0.05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19"/>
  <sheetViews>
    <sheetView zoomScaleNormal="100" workbookViewId="0">
      <pane ySplit="5" topLeftCell="A6" activePane="bottomLeft" state="frozen"/>
      <selection pane="bottomLeft" activeCell="I6" sqref="I6"/>
    </sheetView>
  </sheetViews>
  <sheetFormatPr defaultColWidth="8.5703125" defaultRowHeight="15" x14ac:dyDescent="0.25"/>
  <cols>
    <col min="1" max="1" width="3.85546875" customWidth="1"/>
    <col min="2" max="13" width="16.140625" customWidth="1"/>
  </cols>
  <sheetData>
    <row r="2" spans="2:13" ht="24" customHeight="1" x14ac:dyDescent="0.4">
      <c r="B2" s="34" t="s">
        <v>201</v>
      </c>
    </row>
    <row r="3" spans="2:13" ht="15" customHeight="1" x14ac:dyDescent="0.25">
      <c r="B3" s="35" t="s">
        <v>202</v>
      </c>
    </row>
    <row r="5" spans="2:13" ht="27.75" customHeight="1" x14ac:dyDescent="0.25">
      <c r="B5" s="36" t="s">
        <v>203</v>
      </c>
      <c r="C5" s="36" t="s">
        <v>204</v>
      </c>
      <c r="D5" s="36" t="s">
        <v>70</v>
      </c>
      <c r="E5" s="36" t="s">
        <v>30</v>
      </c>
      <c r="F5" s="36" t="s">
        <v>71</v>
      </c>
      <c r="G5" s="36" t="s">
        <v>33</v>
      </c>
      <c r="H5" s="36" t="s">
        <v>83</v>
      </c>
      <c r="I5" s="36" t="s">
        <v>36</v>
      </c>
      <c r="J5" s="36" t="s">
        <v>42</v>
      </c>
      <c r="K5" s="36" t="s">
        <v>72</v>
      </c>
      <c r="L5" s="36" t="s">
        <v>195</v>
      </c>
      <c r="M5" s="36" t="s">
        <v>205</v>
      </c>
    </row>
    <row r="6" spans="2:13" ht="15" customHeight="1" x14ac:dyDescent="0.25">
      <c r="B6" s="38" t="s">
        <v>206</v>
      </c>
      <c r="C6" s="39">
        <v>182500</v>
      </c>
      <c r="D6" s="39">
        <v>51100</v>
      </c>
      <c r="E6" s="41">
        <f>IFERROR(D6/C6,0)</f>
        <v>0.28000000000000003</v>
      </c>
      <c r="F6" s="39">
        <v>49275</v>
      </c>
      <c r="G6" s="41">
        <f>IFERROR(F6/C6,0)</f>
        <v>0.27</v>
      </c>
      <c r="H6" s="39">
        <v>100375</v>
      </c>
      <c r="I6" s="41">
        <f>IFERROR(H6/C6,0)</f>
        <v>0.55000000000000004</v>
      </c>
      <c r="J6" s="39">
        <v>3832</v>
      </c>
      <c r="K6" s="39">
        <v>14600</v>
      </c>
      <c r="L6" s="39">
        <f>C6-D6-F6-J6-K6</f>
        <v>63693</v>
      </c>
      <c r="M6" s="41">
        <f>IFERROR(L6/C6,0)</f>
        <v>0.34900273972602741</v>
      </c>
    </row>
    <row r="7" spans="2:13" ht="15" customHeight="1" x14ac:dyDescent="0.25">
      <c r="B7" s="38" t="s">
        <v>207</v>
      </c>
      <c r="C7" s="39">
        <v>168000</v>
      </c>
      <c r="D7" s="39">
        <v>47040</v>
      </c>
      <c r="E7" s="41">
        <f>IFERROR(D7/C7,0)</f>
        <v>0.28000000000000003</v>
      </c>
      <c r="F7" s="39">
        <v>45360</v>
      </c>
      <c r="G7" s="41">
        <f>IFERROR(F7/C7,0)</f>
        <v>0.27</v>
      </c>
      <c r="H7" s="39">
        <v>92400</v>
      </c>
      <c r="I7" s="41">
        <f>IFERROR(H7/C7,0)</f>
        <v>0.55000000000000004</v>
      </c>
      <c r="J7" s="39">
        <v>3528</v>
      </c>
      <c r="K7" s="39">
        <v>13440</v>
      </c>
      <c r="L7" s="39">
        <f>C7-D7-F7-J7-K7</f>
        <v>58632</v>
      </c>
      <c r="M7" s="41">
        <f>IFERROR(L7/C7,0)</f>
        <v>0.34899999999999998</v>
      </c>
    </row>
    <row r="8" spans="2:13" ht="15" customHeight="1" x14ac:dyDescent="0.25">
      <c r="B8" s="38" t="s">
        <v>208</v>
      </c>
      <c r="C8" s="39">
        <v>195000</v>
      </c>
      <c r="D8" s="39">
        <v>54600</v>
      </c>
      <c r="E8" s="41">
        <f>IFERROR(D8/C8,0)</f>
        <v>0.28000000000000003</v>
      </c>
      <c r="F8" s="39">
        <v>52650</v>
      </c>
      <c r="G8" s="41">
        <f>IFERROR(F8/C8,0)</f>
        <v>0.27</v>
      </c>
      <c r="H8" s="39">
        <v>107250</v>
      </c>
      <c r="I8" s="41">
        <f>IFERROR(H8/C8,0)</f>
        <v>0.55000000000000004</v>
      </c>
      <c r="J8" s="39">
        <v>4095</v>
      </c>
      <c r="K8" s="39">
        <v>15600</v>
      </c>
      <c r="L8" s="39">
        <f>C8-D8-F8-J8-K8</f>
        <v>68055</v>
      </c>
      <c r="M8" s="41">
        <f>IFERROR(L8/C8,0)</f>
        <v>0.34899999999999998</v>
      </c>
    </row>
    <row r="9" spans="2:13" ht="15" customHeight="1" x14ac:dyDescent="0.25">
      <c r="B9" s="38" t="s">
        <v>209</v>
      </c>
      <c r="C9" s="39">
        <v>188500</v>
      </c>
      <c r="D9" s="39">
        <v>52780</v>
      </c>
      <c r="E9" s="41">
        <f>IFERROR(D9/C9,0)</f>
        <v>0.28000000000000003</v>
      </c>
      <c r="F9" s="39">
        <v>50895</v>
      </c>
      <c r="G9" s="41">
        <f>IFERROR(F9/C9,0)</f>
        <v>0.27</v>
      </c>
      <c r="H9" s="39">
        <v>103675</v>
      </c>
      <c r="I9" s="41">
        <f>IFERROR(H9/C9,0)</f>
        <v>0.55000000000000004</v>
      </c>
      <c r="J9" s="39">
        <v>3959</v>
      </c>
      <c r="K9" s="39">
        <v>15080</v>
      </c>
      <c r="L9" s="39">
        <f>C9-D9-F9-J9-K9</f>
        <v>65786</v>
      </c>
      <c r="M9" s="41">
        <f>IFERROR(L9/C9,0)</f>
        <v>0.34899734748010608</v>
      </c>
    </row>
    <row r="10" spans="2:13" ht="15" customHeight="1" x14ac:dyDescent="0.25">
      <c r="B10" s="38" t="s">
        <v>210</v>
      </c>
      <c r="C10" s="39">
        <f>SUM('Daily Sales Tracker'!D6:D35)</f>
        <v>205681</v>
      </c>
      <c r="D10" s="39">
        <f>SUM('Food Cost Tracker'!D6:D35)</f>
        <v>48095</v>
      </c>
      <c r="E10" s="41">
        <f>D10/C10</f>
        <v>0.23383297436321293</v>
      </c>
      <c r="F10" s="39">
        <f>SUM('Labor Cost Tracker'!D6:D35)</f>
        <v>58036</v>
      </c>
      <c r="G10" s="41">
        <f>F10/C10</f>
        <v>0.28216510032526099</v>
      </c>
      <c r="H10" s="39">
        <f>D10+F10</f>
        <v>106131</v>
      </c>
      <c r="I10" s="41">
        <f>H10/C10</f>
        <v>0.51599807468847392</v>
      </c>
      <c r="J10" s="39">
        <f>SUM('Food Cost Tracker'!F6:F35)</f>
        <v>3790</v>
      </c>
      <c r="K10" s="39">
        <f>C10*0.08</f>
        <v>16454.48</v>
      </c>
      <c r="L10" s="39">
        <f>C10-H10-K10</f>
        <v>83095.520000000004</v>
      </c>
      <c r="M10" s="41">
        <f>L10/C10</f>
        <v>0.40400192531152612</v>
      </c>
    </row>
    <row r="11" spans="2:13" ht="15" customHeight="1" x14ac:dyDescent="0.25">
      <c r="B11" s="38" t="s">
        <v>211</v>
      </c>
      <c r="C11" s="39"/>
      <c r="D11" s="39"/>
      <c r="E11" s="41"/>
      <c r="F11" s="39"/>
      <c r="G11" s="41"/>
      <c r="H11" s="39"/>
      <c r="I11" s="41"/>
      <c r="J11" s="39"/>
      <c r="K11" s="39"/>
      <c r="L11" s="39"/>
      <c r="M11" s="41"/>
    </row>
    <row r="12" spans="2:13" ht="15" customHeight="1" x14ac:dyDescent="0.25">
      <c r="B12" s="38" t="s">
        <v>212</v>
      </c>
      <c r="C12" s="39"/>
      <c r="D12" s="39"/>
      <c r="E12" s="41"/>
      <c r="F12" s="39"/>
      <c r="G12" s="41"/>
      <c r="H12" s="39"/>
      <c r="I12" s="41"/>
      <c r="J12" s="39"/>
      <c r="K12" s="39"/>
      <c r="L12" s="39"/>
      <c r="M12" s="41"/>
    </row>
    <row r="13" spans="2:13" ht="15" customHeight="1" x14ac:dyDescent="0.25">
      <c r="B13" s="38" t="s">
        <v>213</v>
      </c>
      <c r="C13" s="39"/>
      <c r="D13" s="39"/>
      <c r="E13" s="41"/>
      <c r="F13" s="39"/>
      <c r="G13" s="41"/>
      <c r="H13" s="39"/>
      <c r="I13" s="41"/>
      <c r="J13" s="39"/>
      <c r="K13" s="39"/>
      <c r="L13" s="39"/>
      <c r="M13" s="41"/>
    </row>
    <row r="14" spans="2:13" ht="15" customHeight="1" x14ac:dyDescent="0.25">
      <c r="B14" s="38" t="s">
        <v>214</v>
      </c>
      <c r="C14" s="39"/>
      <c r="D14" s="39"/>
      <c r="E14" s="41"/>
      <c r="F14" s="39"/>
      <c r="G14" s="41"/>
      <c r="H14" s="39"/>
      <c r="I14" s="41"/>
      <c r="J14" s="39"/>
      <c r="K14" s="39"/>
      <c r="L14" s="39"/>
      <c r="M14" s="41"/>
    </row>
    <row r="15" spans="2:13" ht="15" customHeight="1" x14ac:dyDescent="0.25">
      <c r="B15" s="38" t="s">
        <v>215</v>
      </c>
      <c r="C15" s="39"/>
      <c r="D15" s="39"/>
      <c r="E15" s="41"/>
      <c r="F15" s="39"/>
      <c r="G15" s="41"/>
      <c r="H15" s="39"/>
      <c r="I15" s="41"/>
      <c r="J15" s="39"/>
      <c r="K15" s="39"/>
      <c r="L15" s="39"/>
      <c r="M15" s="41"/>
    </row>
    <row r="16" spans="2:13" ht="15" customHeight="1" x14ac:dyDescent="0.25">
      <c r="B16" s="38" t="s">
        <v>216</v>
      </c>
      <c r="C16" s="39"/>
      <c r="D16" s="39"/>
      <c r="E16" s="41"/>
      <c r="F16" s="39"/>
      <c r="G16" s="41"/>
      <c r="H16" s="39"/>
      <c r="I16" s="41"/>
      <c r="J16" s="39"/>
      <c r="K16" s="39"/>
      <c r="L16" s="39"/>
      <c r="M16" s="41"/>
    </row>
    <row r="17" spans="2:13" ht="15" customHeight="1" x14ac:dyDescent="0.25">
      <c r="B17" s="38" t="s">
        <v>217</v>
      </c>
      <c r="C17" s="39"/>
      <c r="D17" s="39"/>
      <c r="E17" s="41"/>
      <c r="F17" s="39"/>
      <c r="G17" s="41"/>
      <c r="H17" s="39"/>
      <c r="I17" s="41"/>
      <c r="J17" s="39"/>
      <c r="K17" s="39"/>
      <c r="L17" s="39"/>
      <c r="M17" s="41"/>
    </row>
    <row r="18" spans="2:13" ht="15" customHeight="1" x14ac:dyDescent="0.25">
      <c r="B18" s="38"/>
      <c r="C18" s="39"/>
      <c r="D18" s="39"/>
      <c r="E18" s="38"/>
      <c r="F18" s="39"/>
      <c r="G18" s="38"/>
      <c r="H18" s="39"/>
      <c r="I18" s="38"/>
      <c r="J18" s="39"/>
      <c r="K18" s="39"/>
      <c r="L18" s="39"/>
      <c r="M18" s="38"/>
    </row>
    <row r="19" spans="2:13" ht="15" customHeight="1" x14ac:dyDescent="0.25">
      <c r="B19" s="27" t="s">
        <v>218</v>
      </c>
      <c r="C19" s="54">
        <f>SUM(C6:C17)</f>
        <v>939681</v>
      </c>
      <c r="D19" s="54">
        <f>SUM(D6:D17)</f>
        <v>253615</v>
      </c>
      <c r="E19" s="47">
        <f>D19/C19</f>
        <v>0.26989478344246609</v>
      </c>
      <c r="F19" s="54">
        <f>SUM(F6:F17)</f>
        <v>256216</v>
      </c>
      <c r="G19" s="47">
        <f>F19/C19</f>
        <v>0.27266274405888807</v>
      </c>
      <c r="H19" s="54">
        <f>SUM(H6:H17)</f>
        <v>509831</v>
      </c>
      <c r="I19" s="47">
        <f>H19/C19</f>
        <v>0.54255752750135422</v>
      </c>
      <c r="J19" s="54">
        <f>SUM(J6:J17)</f>
        <v>19204</v>
      </c>
      <c r="K19" s="54">
        <f>SUM(K6:K17)</f>
        <v>75174.48</v>
      </c>
      <c r="L19" s="54">
        <f>SUM(L6:L17)</f>
        <v>339261.52</v>
      </c>
      <c r="M19" s="47">
        <f>L19/C19</f>
        <v>0.36103903345922717</v>
      </c>
    </row>
  </sheetData>
  <conditionalFormatting sqref="I6:I17">
    <cfRule type="cellIs" dxfId="5" priority="2" operator="lessThan">
      <formula>0.6</formula>
    </cfRule>
    <cfRule type="cellIs" dxfId="4" priority="3" operator="between">
      <formula>0.6</formula>
      <formula>0.7</formula>
    </cfRule>
    <cfRule type="cellIs" dxfId="3" priority="4" operator="greaterThan">
      <formula>0.7</formula>
    </cfRule>
  </conditionalFormatting>
  <conditionalFormatting sqref="M6:M17">
    <cfRule type="cellIs" dxfId="2" priority="5" operator="greaterThan">
      <formula>0.15</formula>
    </cfRule>
    <cfRule type="cellIs" dxfId="1" priority="6" operator="between">
      <formula>0.05</formula>
      <formula>0.15</formula>
    </cfRule>
    <cfRule type="cellIs" dxfId="0" priority="7" operator="lessThan">
      <formula>0.05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How to Use This Template</vt:lpstr>
      <vt:lpstr>Dashboard Overview</vt:lpstr>
      <vt:lpstr>Daily Sales Tracker</vt:lpstr>
      <vt:lpstr>Food Cost Tracker</vt:lpstr>
      <vt:lpstr>Labor Cost Tracker</vt:lpstr>
      <vt:lpstr>Inventory &amp; Waste Tracker</vt:lpstr>
      <vt:lpstr>KPI Benchmarks</vt:lpstr>
      <vt:lpstr>Weekly Summary</vt:lpstr>
      <vt:lpstr>Monthly Summary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Deepak Verma</dc:creator>
  <dc:description/>
  <cp:lastModifiedBy>Abhay Pandey</cp:lastModifiedBy>
  <cp:revision>2</cp:revision>
  <dcterms:created xsi:type="dcterms:W3CDTF">2026-05-19T14:27:12Z</dcterms:created>
  <dcterms:modified xsi:type="dcterms:W3CDTF">2026-05-20T12:42:23Z</dcterms:modified>
  <dc:language>en-US</dc:language>
</cp:coreProperties>
</file>